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scfi/Documents/Dr. Koch/Website/Wissensdatenbank/"/>
    </mc:Choice>
  </mc:AlternateContent>
  <xr:revisionPtr revIDLastSave="0" documentId="8_{735A2848-C314-C149-B5D9-7CB0ED4096B3}" xr6:coauthVersionLast="47" xr6:coauthVersionMax="47" xr10:uidLastSave="{00000000-0000-0000-0000-000000000000}"/>
  <bookViews>
    <workbookView xWindow="43000" yWindow="740" windowWidth="37320" windowHeight="21600" tabRatio="500" xr2:uid="{00000000-000D-0000-FFFF-FFFF00000000}"/>
  </bookViews>
  <sheets>
    <sheet name="00_Intro" sheetId="1" r:id="rId1"/>
    <sheet name="01_Rezeptur" sheetId="3" r:id="rId2"/>
    <sheet name="02_Einkaufspreise" sheetId="2" r:id="rId3"/>
    <sheet name="03_Betriebsdaten" sheetId="4" r:id="rId4"/>
    <sheet name="04_Kostenstellen" sheetId="5" r:id="rId5"/>
    <sheet name="05_Vollkostenkalkulation" sheetId="6" r:id="rId6"/>
    <sheet name="06_Preismonitor" sheetId="7" r:id="rId7"/>
    <sheet name="07_Vergleich_zuschlagskalkulati"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21" i="5" l="1"/>
  <c r="C24" i="5" s="1"/>
  <c r="F7" i="2"/>
  <c r="F8" i="2"/>
  <c r="F9" i="2"/>
  <c r="F10" i="2"/>
  <c r="F11" i="2"/>
  <c r="E15" i="3" s="1"/>
  <c r="F15" i="3" s="1"/>
  <c r="F12" i="2"/>
  <c r="E16" i="3" s="1"/>
  <c r="F16" i="3" s="1"/>
  <c r="F13" i="2"/>
  <c r="E17" i="3" s="1"/>
  <c r="F17" i="3" s="1"/>
  <c r="F14" i="2"/>
  <c r="E18" i="3" s="1"/>
  <c r="F18" i="3" s="1"/>
  <c r="F15" i="2"/>
  <c r="E19" i="3" s="1"/>
  <c r="F19" i="3" s="1"/>
  <c r="F16" i="2"/>
  <c r="E20" i="3" s="1"/>
  <c r="F20" i="3" s="1"/>
  <c r="F17" i="2"/>
  <c r="E21" i="3" s="1"/>
  <c r="F21" i="3" s="1"/>
  <c r="F18" i="2"/>
  <c r="E22" i="3" s="1"/>
  <c r="F22" i="3" s="1"/>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6" i="2"/>
  <c r="E10" i="3" s="1"/>
  <c r="F10" i="3" s="1"/>
  <c r="E14" i="3"/>
  <c r="F14" i="3" s="1"/>
  <c r="F5" i="2"/>
  <c r="C8" i="4"/>
  <c r="D11" i="8"/>
  <c r="D8" i="8"/>
  <c r="B5" i="7"/>
  <c r="C4" i="6"/>
  <c r="C19" i="5"/>
  <c r="D17" i="5" s="1"/>
  <c r="D12" i="5"/>
  <c r="E33" i="3"/>
  <c r="F33" i="3" s="1"/>
  <c r="E32" i="3"/>
  <c r="F32" i="3" s="1"/>
  <c r="E31" i="3"/>
  <c r="F31" i="3" s="1"/>
  <c r="E30" i="3"/>
  <c r="F30" i="3" s="1"/>
  <c r="E29" i="3"/>
  <c r="F29" i="3" s="1"/>
  <c r="E28" i="3"/>
  <c r="F28" i="3" s="1"/>
  <c r="E27" i="3"/>
  <c r="F27" i="3" s="1"/>
  <c r="E26" i="3"/>
  <c r="F26" i="3" s="1"/>
  <c r="E25" i="3"/>
  <c r="F25" i="3" s="1"/>
  <c r="E24" i="3"/>
  <c r="F24" i="3" s="1"/>
  <c r="E23" i="3"/>
  <c r="F23" i="3" s="1"/>
  <c r="E13" i="3"/>
  <c r="F13" i="3" s="1"/>
  <c r="E12" i="3"/>
  <c r="F12" i="3" s="1"/>
  <c r="E11" i="3"/>
  <c r="F11" i="3" s="1"/>
  <c r="E9" i="3"/>
  <c r="F9" i="3" s="1"/>
  <c r="D8" i="5" l="1"/>
  <c r="D9" i="5"/>
  <c r="D10" i="5"/>
  <c r="D11" i="5"/>
  <c r="D15" i="5"/>
  <c r="D18" i="5"/>
  <c r="D6" i="5"/>
  <c r="D7" i="5"/>
  <c r="D13" i="5"/>
  <c r="D14" i="5"/>
  <c r="C22" i="5"/>
  <c r="C25" i="5" s="1"/>
  <c r="C8" i="6" s="1"/>
  <c r="D6" i="8"/>
  <c r="F35" i="3"/>
  <c r="F36" i="3" s="1"/>
  <c r="D16" i="5"/>
  <c r="D5" i="5"/>
  <c r="C7" i="6"/>
  <c r="D19" i="5" l="1"/>
  <c r="D5" i="8"/>
  <c r="C5" i="8"/>
  <c r="C6" i="6"/>
  <c r="C9" i="6" l="1"/>
  <c r="C6" i="8"/>
  <c r="E6" i="8" s="1"/>
  <c r="E5" i="8"/>
  <c r="D7" i="8"/>
  <c r="C7" i="8" l="1"/>
  <c r="C10" i="8" s="1"/>
  <c r="C12" i="8" s="1"/>
  <c r="D10" i="8"/>
  <c r="C11" i="6"/>
  <c r="C12" i="6" s="1"/>
  <c r="C22" i="6"/>
  <c r="E7" i="8" l="1"/>
  <c r="C14" i="6"/>
  <c r="C15" i="6" s="1"/>
  <c r="D5" i="7" s="1"/>
  <c r="C21" i="6"/>
  <c r="C20" i="6"/>
  <c r="C19" i="6"/>
  <c r="D12" i="8"/>
  <c r="E12" i="8" s="1"/>
  <c r="E10" i="8"/>
  <c r="F5" i="7" l="1"/>
  <c r="E5" i="7"/>
</calcChain>
</file>

<file path=xl/sharedStrings.xml><?xml version="1.0" encoding="utf-8"?>
<sst xmlns="http://schemas.openxmlformats.org/spreadsheetml/2006/main" count="220" uniqueCount="167">
  <si>
    <t>Aufbau der Arbeitsmappe</t>
  </si>
  <si>
    <t>Wareneinkauf, Putzverlust, Realpreis pro Einheit. Datenbasis für jede Rezeptur.</t>
  </si>
  <si>
    <t>Mengenauszug pro Gericht. Liefert den reinen Wareneinsatz (variable Stückkosten).</t>
  </si>
  <si>
    <t>03_Betriebsdaten</t>
  </si>
  <si>
    <t>04_Kostenstellen</t>
  </si>
  <si>
    <t>Vollkosten Pool. Personal, Energie, Reinigung, Wartung, Abschreibung, Raum, Verwaltung.</t>
  </si>
  <si>
    <t>05_Vollkostenkalkulation</t>
  </si>
  <si>
    <t>Gericht Kalkulation. Wareneinsatz plus zugeordnete Personal und Gemeinkosten plus Gewinn plus MwSt.</t>
  </si>
  <si>
    <t>06_Preismonitor</t>
  </si>
  <si>
    <t>Soll Ist Vergleich des Verkaufspreises gegen die aktuelle Speisekarte.</t>
  </si>
  <si>
    <t>Gegenüberstellung Zuschlagskalkulation versus Vollkostenrechnung.</t>
  </si>
  <si>
    <t>Farbkodierung der Zellen</t>
  </si>
  <si>
    <t>Eingabewert</t>
  </si>
  <si>
    <t>Hier trägt der Anwender Zahlen ein</t>
  </si>
  <si>
    <t>Formel</t>
  </si>
  <si>
    <t>Berechnung innerhalb des Blattes</t>
  </si>
  <si>
    <t>Verweis</t>
  </si>
  <si>
    <t>Verknüpfung auf ein anderes Tabellenblatt</t>
  </si>
  <si>
    <t>Hinweis zu den Zahlen</t>
  </si>
  <si>
    <t>Wareneinkauf und Putzverlust</t>
  </si>
  <si>
    <t>Artikel</t>
  </si>
  <si>
    <t>Einheit</t>
  </si>
  <si>
    <t>Einkaufspreis netto</t>
  </si>
  <si>
    <t>Putzverlust</t>
  </si>
  <si>
    <t>Realpreis netto</t>
  </si>
  <si>
    <t>Kalbfleisch Geschnetzeltes</t>
  </si>
  <si>
    <t>kg</t>
  </si>
  <si>
    <t>Champignons frisch</t>
  </si>
  <si>
    <t>Zwiebeln</t>
  </si>
  <si>
    <t>Rahm Vollrahm</t>
  </si>
  <si>
    <t>L</t>
  </si>
  <si>
    <t>Weisswein Kochwein</t>
  </si>
  <si>
    <t>Bratbutter</t>
  </si>
  <si>
    <t>Kartoffeln festkochend</t>
  </si>
  <si>
    <t>Salatmischung</t>
  </si>
  <si>
    <t>Salatsauce French Dressing</t>
  </si>
  <si>
    <t>Petersilie frisch</t>
  </si>
  <si>
    <t>Salz</t>
  </si>
  <si>
    <t>Pfeffer schwarz gemahlen</t>
  </si>
  <si>
    <t>Mehl Weissmehl</t>
  </si>
  <si>
    <t>Bouillon Pulver</t>
  </si>
  <si>
    <t>Kaffeebohnen Espresso</t>
  </si>
  <si>
    <t>Milch UHT</t>
  </si>
  <si>
    <t>Mineralwasser 5dl Glas</t>
  </si>
  <si>
    <t>Stk</t>
  </si>
  <si>
    <t>Gipfeli Butter</t>
  </si>
  <si>
    <t>Birchermüesli</t>
  </si>
  <si>
    <t>Rezeptur und Wareneinsatz pro Portion</t>
  </si>
  <si>
    <t>Gerichtname</t>
  </si>
  <si>
    <t>Mittagsmenü Zürcher Geschnetzeltes mit Rösti und kleinem Salat</t>
  </si>
  <si>
    <t>Anzahl Portionen Rezeptur</t>
  </si>
  <si>
    <t>Bezugsgrösse 1 Portion (1 Couvert)</t>
  </si>
  <si>
    <t>Menge</t>
  </si>
  <si>
    <t>Realpreis pro Einheit</t>
  </si>
  <si>
    <t>Wareneinsatz</t>
  </si>
  <si>
    <t>g</t>
  </si>
  <si>
    <t>ml</t>
  </si>
  <si>
    <t>Wareneinsatz Total Rezeptur</t>
  </si>
  <si>
    <t>Wareneinsatz pro Portion</t>
  </si>
  <si>
    <t>Betriebsdaten und Bezugsgrösse</t>
  </si>
  <si>
    <t>Position</t>
  </si>
  <si>
    <t>Wert</t>
  </si>
  <si>
    <t>Bemerkung</t>
  </si>
  <si>
    <t>Öffnungstage pro Jahr</t>
  </si>
  <si>
    <t>Annahme, sieben Tage Betrieb</t>
  </si>
  <si>
    <t>Bewohnende, Angehörige, Quartiergäste, Mitarbeitende</t>
  </si>
  <si>
    <t>Bezugsgrösse für Stückkosten Umlage</t>
  </si>
  <si>
    <t>Davon Mittagsmenü (Anteil)</t>
  </si>
  <si>
    <t>Davon Cafeteria (Heissgetränk, Patisserie, Snack)</t>
  </si>
  <si>
    <t>Restanteil</t>
  </si>
  <si>
    <t>Vollkosten Pool. Kostenarten pro Jahr</t>
  </si>
  <si>
    <t>Kostenart</t>
  </si>
  <si>
    <t>Betrag pro Jahr</t>
  </si>
  <si>
    <t>Anteil</t>
  </si>
  <si>
    <t>Bemerkung und Quelle</t>
  </si>
  <si>
    <t>Personalkosten Küche (inkl. Sozialleistungen)</t>
  </si>
  <si>
    <t>ca. 5.5 FTE Köche und Hilfskräfte zu CHF 95k Vollkosten</t>
  </si>
  <si>
    <t>Personalkosten Service Cafeteria</t>
  </si>
  <si>
    <t>ca. 3.0 FTE Servicepersonal zu CHF 93k Vollkosten</t>
  </si>
  <si>
    <t>Personalkosten Leitung Gastronomie (anteilig)</t>
  </si>
  <si>
    <t>Leitung anteilig auf Cafeteria und Restaurant umgelegt</t>
  </si>
  <si>
    <t>Energie Strom</t>
  </si>
  <si>
    <t>Geräte Küche, Beleuchtung, Lüftung anteilig</t>
  </si>
  <si>
    <t>Energie Wärme und Warmwasser</t>
  </si>
  <si>
    <t>Spülmaschine, Heizung Küche und Gastraum</t>
  </si>
  <si>
    <t>Wasser und Abwasser</t>
  </si>
  <si>
    <t>Spül und Reinigungsverbrauch</t>
  </si>
  <si>
    <t>Reinigung und Hygiene</t>
  </si>
  <si>
    <t>Externe Grundreinigung, Reinigungsmittel, Hygieneprodukte</t>
  </si>
  <si>
    <t>Wartung und Service Geräte</t>
  </si>
  <si>
    <t>Servicepauschalen Kombidämpfer, Spülmaschinen, Kältetechnik</t>
  </si>
  <si>
    <t>Abschreibung Geräteausstattung</t>
  </si>
  <si>
    <t>ca. CHF 650k Investition, lineare Abschreibung 10 Jahre</t>
  </si>
  <si>
    <t>Kalkulatorische Raumkosten</t>
  </si>
  <si>
    <t>ca. 480 m2 Infrastruktur zu CHF 200/m2 pro Jahr</t>
  </si>
  <si>
    <t>Verwaltung, IT, Inkassosystem</t>
  </si>
  <si>
    <t>Anteil Buchhaltung, Kassensystem, Bestell und Lagerverwaltung</t>
  </si>
  <si>
    <t>Versicherung und Gebühren</t>
  </si>
  <si>
    <t>Betriebshaftpflicht, Lebensmittelkontrolle, Gebühren</t>
  </si>
  <si>
    <t>Verbrauchsmaterial Service (nicht Ware)</t>
  </si>
  <si>
    <t>Servietten, Verpackung, Kaffeefilter, Reinigungstücher</t>
  </si>
  <si>
    <t>Kleinmaterial und Geschirrersatz</t>
  </si>
  <si>
    <t>Bruch, Ersatzbeschaffung Geschirr und Besteck</t>
  </si>
  <si>
    <t>Vollkosten Total pro Jahr</t>
  </si>
  <si>
    <t>davon Personalkosten</t>
  </si>
  <si>
    <t>davon übrige Gemeinkosten</t>
  </si>
  <si>
    <t>Vollkostenkalkulation pro Gericht</t>
  </si>
  <si>
    <t>Gericht</t>
  </si>
  <si>
    <t>Aus Blatt 02_Rezeptur</t>
  </si>
  <si>
    <t>Energie, Reinigung, Wartung, Abschreibung, Raum, Verwaltung</t>
  </si>
  <si>
    <t>Selbstkosten pro Portion</t>
  </si>
  <si>
    <t>Gewinnzuschlag</t>
  </si>
  <si>
    <t>Standard 10 bis 15 Prozent, abhängig von Positionierung</t>
  </si>
  <si>
    <t>Gewinnaufschlag in CHF</t>
  </si>
  <si>
    <t>Nettoverkaufspreis</t>
  </si>
  <si>
    <t>MwSt Satz</t>
  </si>
  <si>
    <t>Schweiz, Restaurant 8.1 Prozent. Take Away 2.6 Prozent</t>
  </si>
  <si>
    <t>MwSt Betrag</t>
  </si>
  <si>
    <t>Verkaufspreis brutto (kalkulatorisch)</t>
  </si>
  <si>
    <t>Empfohlener Bruttopreis nach Vollkostenrechnung</t>
  </si>
  <si>
    <t>Kennzahlen Kostenanalyse</t>
  </si>
  <si>
    <t>Wareneinsatzquote (Wareneinsatz auf Nettoverkaufspreis)</t>
  </si>
  <si>
    <t>Branchenrichtwert Gastronomie 28 bis 35 Prozent</t>
  </si>
  <si>
    <t>Personalkostenquote</t>
  </si>
  <si>
    <t>Branchenrichtwert 30 bis 40 Prozent</t>
  </si>
  <si>
    <t>Gemeinkostenquote</t>
  </si>
  <si>
    <t>Branchenrichtwert 15 bis 25 Prozent</t>
  </si>
  <si>
    <t>Faktor Selbstkosten zu Wareneinsatz</t>
  </si>
  <si>
    <t>Preismonitor. Soll versus Ist</t>
  </si>
  <si>
    <t>Aktueller Karten Preis (Ist)</t>
  </si>
  <si>
    <t>Soll Preis Vollkosten</t>
  </si>
  <si>
    <t>Differenz</t>
  </si>
  <si>
    <t>Deckungsgrad</t>
  </si>
  <si>
    <t>Interpretation</t>
  </si>
  <si>
    <t>Ein Deckungsgrad unter 100 Prozent bedeutet, dass der aktuelle Verkaufspreis die Vollkosten nicht deckt. Bei einem Pflegezentrum mit subventionierter Bewohnerverpflegung kann das politisch gewollt sein. Für das externe Cafeteria Angebot ist dauerhafte Unterdeckung betriebswirtschaftlich nicht haltbar und sollte transparent ausgewiesen werden.</t>
  </si>
  <si>
    <t>Methodenvergleich. Zuschlagskalkulation versus Vollkostenrechnung</t>
  </si>
  <si>
    <t>Vollkostenrechnung</t>
  </si>
  <si>
    <t>Betriebs und Personalkostenanteil</t>
  </si>
  <si>
    <t>Gewinnzuschlag (Prozent)</t>
  </si>
  <si>
    <t>Pauschaler Betriebskostenfaktor</t>
  </si>
  <si>
    <t>nicht anwendbar</t>
  </si>
  <si>
    <t>Verkaufspreis brutto</t>
  </si>
  <si>
    <t>Bewertung</t>
  </si>
  <si>
    <t>Gäste pro Tag (Durchschnitt)</t>
  </si>
  <si>
    <t>Gäste pro Jahr</t>
  </si>
  <si>
    <t>Personalkosten pro Gast/Cover</t>
  </si>
  <si>
    <t>Übrige Gemeinkosten pro Gast/Cover</t>
  </si>
  <si>
    <t>Sitzplätze Cafeteria &amp; Restaurant</t>
  </si>
  <si>
    <t>Geschätzter Anteil Hauptmahlzeit am Gastvolumen</t>
  </si>
  <si>
    <t>Bezugsgrösse Gäste/Covers pro Jahr. Treiber jeder Stückkosten Umlage.</t>
  </si>
  <si>
    <t>07_Vergleich_Zuschlagskalkulation</t>
  </si>
  <si>
    <t>Vollkosten pro Gast/Cover</t>
  </si>
  <si>
    <t>Aus Blatt 04_Kostenstellen, umgelegt über Gäste/Covers pro Jahr</t>
  </si>
  <si>
    <t>Tatsächlicher Vollkostenfaktor (Vergleich mit Zuschlagskalkulation Standard 3.0)</t>
  </si>
  <si>
    <t>Zutaten</t>
  </si>
  <si>
    <t>01_Rezeptur</t>
  </si>
  <si>
    <t>Die Zuschlagskalkulation arbeitet mit einem fixen Faktor von 3.0 auf den Wareneinsatz. Diese Heuristik bestraft warenintensive Gerichte (Filet, Fisch) und subventioniert warenarme Gerichte (Pasta, Suppen), weil reale Personal und Gemeinkosten kaum mit dem Wareneinsatz korrelieren. Die Vollkostenrechnung umgeht dieses Problem, indem sie reale Stückgemeinkosten über die Bezugsgrösse Gäste/Covers zuordnet. Die Differenz in Zeile 12 zeigt, in welche Richtung der Schnellpreis die wahre Kostenposition verzerrt.</t>
  </si>
  <si>
    <t>Zuschlagkalkulation</t>
  </si>
  <si>
    <t>Vollkostenrechnung Gastronomie by Dr. Koch</t>
  </si>
  <si>
    <t>Willkommen</t>
  </si>
  <si>
    <t>Dieses Dokument wird dir von Dr. Koch zur Verfügung gestellt. Pro Gericht füllst du eine eigene Kopie der Excel Datei aus und erhältst am Ende einen belastbaren Verkaufspreis, der alle relevanten Kosten deines Betriebs berücksichtigt.</t>
  </si>
  <si>
    <t>Die Berechnung ist bewusst präzise gehalten und dadurch etwas umfangreicher als die klassische Faustformel mit Wareneinsatz mal drei. Nimm dir die Zeit, die du dafür brauchst. Es lohnt sich, weil du am Ende nicht mit einem Richtwert arbeitest, sondern mit deinem echten Kostenbild.</t>
  </si>
  <si>
    <t>Aufgrund des Umfangs empfehlen wir dir, mit den drei bis fünf wichtigsten Gerichten deiner Karte zu beginnen. Das sind typischerweise die Topseller, die Klassiker deines Konzepts und jene Gerichte, bei denen du selbst ein ungutes Bauchgefühl hast. Genau dort wirst du die grössten Erkenntnisse gewinnen.</t>
  </si>
  <si>
    <t>So gehst du vor</t>
  </si>
  <si>
    <t>Erfasse zuerst die Rezeptur, dann die Einkaufspreise, danach deine Betriebsdaten und die Kostenstellen. Alles was gelb hinterlegt ist, passt du auf deinen Betrieb an. Der Verkaufspreis in Blatt 05 wird automatisch berechnet und aktualisiert sich, sobald du Werte änderst.</t>
  </si>
  <si>
    <t>02_Einkaufspreise</t>
  </si>
  <si>
    <t>Die hinterlegten Mengengerüste, Personalkosten und Gemeinkosten sind plausible Annahmen für einen Betrieb der Grössenordnung (60 Sitzplätze). Sie ersetzen keine Ist Daten aus der Buchhaltung. Vor produktiver Anwendung sind alle gelb markierten Zellen mit betrieblichen Werten zu überschreiben.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</si>
</sst>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CHF &quot;#,##0.00;[Red]&quot;CHF (&quot;#,##0.00\);&quot;CHF -&quot;"/>
    <numFmt numFmtId="165" formatCode="0.0%;[Red]\(0.0%\);\-"/>
    <numFmt numFmtId="166" formatCode="#,##0;[Red]\(#,##0\);\-"/>
    <numFmt numFmtId="167" formatCode="&quot;CHF &quot;#,##0;[Red]&quot;CHF (&quot;#,##0\);&quot;CHF -&quot;"/>
    <numFmt numFmtId="168" formatCode="0.00\x"/>
  </numFmts>
  <fonts count="16" x14ac:knownFonts="1">
    <font>
      <sz val="11"/>
      <color theme="1"/>
      <name val="Calibri"/>
      <family val="2"/>
      <charset val="1"/>
    </font>
    <font>
      <sz val="10"/>
      <name val="Arial"/>
      <family val="2"/>
    </font>
    <font>
      <b/>
      <sz val="18"/>
      <color rgb="FF1F3864"/>
      <name val="Arial"/>
      <family val="2"/>
    </font>
    <font>
      <b/>
      <sz val="10"/>
      <name val="Arial"/>
      <family val="2"/>
    </font>
    <font>
      <sz val="10"/>
      <name val="Arial"/>
      <family val="2"/>
    </font>
    <font>
      <b/>
      <sz val="10"/>
      <color rgb="FF0000FF"/>
      <name val="Arial"/>
      <family val="2"/>
    </font>
    <font>
      <b/>
      <sz val="10"/>
      <color rgb="FF000000"/>
      <name val="Arial"/>
      <family val="2"/>
    </font>
    <font>
      <b/>
      <sz val="10"/>
      <color rgb="FF006400"/>
      <name val="Arial"/>
      <family val="2"/>
    </font>
    <font>
      <b/>
      <sz val="14"/>
      <color rgb="FFFFFFFF"/>
      <name val="Arial"/>
      <family val="2"/>
    </font>
    <font>
      <b/>
      <sz val="11"/>
      <color rgb="FFFFFFFF"/>
      <name val="Arial"/>
      <family val="2"/>
    </font>
    <font>
      <sz val="10"/>
      <color rgb="FF0000FF"/>
      <name val="Arial"/>
      <family val="2"/>
    </font>
    <font>
      <sz val="10"/>
      <color rgb="FF000000"/>
      <name val="Arial"/>
      <family val="2"/>
    </font>
    <font>
      <i/>
      <sz val="9"/>
      <color rgb="FF595959"/>
      <name val="Arial"/>
      <family val="2"/>
    </font>
    <font>
      <sz val="10"/>
      <color rgb="FF006400"/>
      <name val="Arial"/>
      <family val="2"/>
    </font>
    <font>
      <b/>
      <sz val="10"/>
      <color rgb="FFFFFFFF"/>
      <name val="Arial"/>
      <family val="2"/>
    </font>
    <font>
      <sz val="10"/>
      <color theme="1"/>
      <name val="Arial"/>
      <family val="2"/>
    </font>
  </fonts>
  <fills count="13">
    <fill>
      <patternFill patternType="none"/>
    </fill>
    <fill>
      <patternFill patternType="gray125"/>
    </fill>
    <fill>
      <patternFill patternType="solid">
        <fgColor rgb="FFDEEBF7"/>
        <bgColor rgb="FFF2F2F2"/>
      </patternFill>
    </fill>
    <fill>
      <patternFill patternType="solid">
        <fgColor rgb="FF1F3864"/>
        <bgColor rgb="FF333333"/>
      </patternFill>
    </fill>
    <fill>
      <patternFill patternType="solid">
        <fgColor rgb="FF2E75B6"/>
        <bgColor rgb="FF0066CC"/>
      </patternFill>
    </fill>
    <fill>
      <patternFill patternType="solid">
        <fgColor rgb="FFF2F2F2"/>
        <bgColor rgb="FFDEEBF7"/>
      </patternFill>
    </fill>
    <fill>
      <patternFill patternType="solid">
        <fgColor rgb="FF548235"/>
        <bgColor rgb="FF339966"/>
      </patternFill>
    </fill>
    <fill>
      <patternFill patternType="solid">
        <fgColor theme="0" tint="-4.9989318521683403E-2"/>
        <bgColor indexed="64"/>
      </patternFill>
    </fill>
    <fill>
      <patternFill patternType="solid">
        <fgColor theme="0" tint="-4.9989318521683403E-2"/>
        <bgColor rgb="FFDEEBF7"/>
      </patternFill>
    </fill>
    <fill>
      <patternFill patternType="solid">
        <fgColor rgb="FFFFFF00"/>
        <bgColor rgb="FFF2F2F2"/>
      </patternFill>
    </fill>
    <fill>
      <patternFill patternType="solid">
        <fgColor theme="7" tint="0.79998168889431442"/>
        <bgColor rgb="FFF2F2F2"/>
      </patternFill>
    </fill>
    <fill>
      <patternFill patternType="solid">
        <fgColor rgb="FFFFFF00"/>
        <bgColor rgb="FF0066CC"/>
      </patternFill>
    </fill>
    <fill>
      <patternFill patternType="solid">
        <fgColor theme="0"/>
        <bgColor indexed="64"/>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70">
    <xf numFmtId="0" fontId="0" fillId="0" borderId="0" xfId="0"/>
    <xf numFmtId="0" fontId="12" fillId="0" borderId="1" xfId="0" applyFont="1" applyBorder="1"/>
    <xf numFmtId="0" fontId="3" fillId="2" borderId="0" xfId="0" applyFont="1" applyFill="1"/>
    <xf numFmtId="0" fontId="6" fillId="0" borderId="0" xfId="0" applyFont="1"/>
    <xf numFmtId="0" fontId="7" fillId="0" borderId="0" xfId="0" applyFont="1"/>
    <xf numFmtId="0" fontId="9" fillId="4" borderId="1" xfId="0" applyFont="1" applyFill="1" applyBorder="1" applyAlignment="1">
      <alignment horizontal="center" vertical="center" wrapText="1"/>
    </xf>
    <xf numFmtId="0" fontId="10" fillId="5" borderId="1" xfId="0" applyFont="1" applyFill="1" applyBorder="1"/>
    <xf numFmtId="164" fontId="10" fillId="0" borderId="1" xfId="0" applyNumberFormat="1" applyFont="1" applyBorder="1"/>
    <xf numFmtId="165" fontId="10" fillId="0" borderId="1" xfId="0" applyNumberFormat="1" applyFont="1" applyBorder="1"/>
    <xf numFmtId="164" fontId="11" fillId="5" borderId="1" xfId="0" applyNumberFormat="1" applyFont="1" applyFill="1" applyBorder="1"/>
    <xf numFmtId="0" fontId="4" fillId="0" borderId="1" xfId="0" applyFont="1" applyBorder="1"/>
    <xf numFmtId="0" fontId="10" fillId="0" borderId="1" xfId="0" applyFont="1" applyBorder="1"/>
    <xf numFmtId="164" fontId="11" fillId="0" borderId="1" xfId="0" applyNumberFormat="1" applyFont="1" applyBorder="1"/>
    <xf numFmtId="0" fontId="0" fillId="0" borderId="1" xfId="0" applyBorder="1"/>
    <xf numFmtId="164" fontId="13" fillId="0" borderId="1" xfId="0" applyNumberFormat="1" applyFont="1" applyBorder="1"/>
    <xf numFmtId="0" fontId="3" fillId="2" borderId="1" xfId="0" applyFont="1" applyFill="1" applyBorder="1"/>
    <xf numFmtId="164" fontId="3" fillId="2" borderId="1" xfId="0" applyNumberFormat="1" applyFont="1" applyFill="1" applyBorder="1"/>
    <xf numFmtId="0" fontId="14" fillId="6" borderId="1" xfId="0" applyFont="1" applyFill="1" applyBorder="1"/>
    <xf numFmtId="164" fontId="9" fillId="6" borderId="1" xfId="0" applyNumberFormat="1" applyFont="1" applyFill="1" applyBorder="1"/>
    <xf numFmtId="0" fontId="9" fillId="4" borderId="1" xfId="0" applyFont="1" applyFill="1" applyBorder="1" applyAlignment="1">
      <alignment horizontal="center"/>
    </xf>
    <xf numFmtId="166" fontId="11" fillId="0" borderId="1" xfId="0" applyNumberFormat="1" applyFont="1" applyBorder="1" applyAlignment="1">
      <alignment horizontal="right"/>
    </xf>
    <xf numFmtId="0" fontId="9" fillId="4" borderId="1" xfId="0" applyFont="1" applyFill="1" applyBorder="1" applyAlignment="1">
      <alignment horizontal="center" vertical="center"/>
    </xf>
    <xf numFmtId="165" fontId="11" fillId="0" borderId="1" xfId="0" applyNumberFormat="1" applyFont="1" applyBorder="1"/>
    <xf numFmtId="167" fontId="3" fillId="2" borderId="1" xfId="0" applyNumberFormat="1" applyFont="1" applyFill="1" applyBorder="1"/>
    <xf numFmtId="165" fontId="3" fillId="2" borderId="1" xfId="0" applyNumberFormat="1" applyFont="1" applyFill="1" applyBorder="1"/>
    <xf numFmtId="0" fontId="3" fillId="0" borderId="0" xfId="0" applyFont="1"/>
    <xf numFmtId="167" fontId="3" fillId="0" borderId="0" xfId="0" applyNumberFormat="1" applyFont="1"/>
    <xf numFmtId="0" fontId="14" fillId="6" borderId="0" xfId="0" applyFont="1" applyFill="1"/>
    <xf numFmtId="164" fontId="9" fillId="6" borderId="0" xfId="0" applyNumberFormat="1" applyFont="1" applyFill="1"/>
    <xf numFmtId="0" fontId="3" fillId="0" borderId="1" xfId="0" applyFont="1" applyBorder="1"/>
    <xf numFmtId="164" fontId="13" fillId="0" borderId="1" xfId="0" applyNumberFormat="1" applyFont="1" applyBorder="1" applyAlignment="1">
      <alignment horizontal="right"/>
    </xf>
    <xf numFmtId="0" fontId="9" fillId="6" borderId="1" xfId="0" applyFont="1" applyFill="1" applyBorder="1"/>
    <xf numFmtId="164" fontId="9" fillId="6" borderId="1" xfId="0" applyNumberFormat="1" applyFont="1" applyFill="1" applyBorder="1" applyAlignment="1">
      <alignment horizontal="right"/>
    </xf>
    <xf numFmtId="164" fontId="11" fillId="0" borderId="1" xfId="0" applyNumberFormat="1" applyFont="1" applyBorder="1" applyAlignment="1">
      <alignment horizontal="right"/>
    </xf>
    <xf numFmtId="165" fontId="11" fillId="0" borderId="1" xfId="0" applyNumberFormat="1" applyFont="1" applyBorder="1" applyAlignment="1">
      <alignment horizontal="right"/>
    </xf>
    <xf numFmtId="168" fontId="11" fillId="0" borderId="1" xfId="0" applyNumberFormat="1" applyFont="1" applyBorder="1" applyAlignment="1">
      <alignment horizontal="right"/>
    </xf>
    <xf numFmtId="0" fontId="13" fillId="0" borderId="1" xfId="0" applyFont="1" applyBorder="1"/>
    <xf numFmtId="165" fontId="13" fillId="0" borderId="1" xfId="0" applyNumberFormat="1" applyFont="1" applyBorder="1"/>
    <xf numFmtId="0" fontId="12" fillId="0" borderId="1" xfId="0" applyFont="1" applyBorder="1" applyAlignment="1">
      <alignment horizontal="center"/>
    </xf>
    <xf numFmtId="164" fontId="3" fillId="0" borderId="1" xfId="0" applyNumberFormat="1" applyFont="1" applyBorder="1"/>
    <xf numFmtId="164" fontId="10" fillId="7" borderId="1" xfId="0" applyNumberFormat="1" applyFont="1" applyFill="1" applyBorder="1"/>
    <xf numFmtId="165" fontId="10" fillId="7" borderId="1" xfId="0" applyNumberFormat="1" applyFont="1" applyFill="1" applyBorder="1"/>
    <xf numFmtId="0" fontId="10" fillId="8" borderId="1" xfId="0" applyFont="1" applyFill="1" applyBorder="1"/>
    <xf numFmtId="0" fontId="1" fillId="0" borderId="1" xfId="0" applyFont="1" applyBorder="1"/>
    <xf numFmtId="164" fontId="10" fillId="9" borderId="1" xfId="0" applyNumberFormat="1" applyFont="1" applyFill="1" applyBorder="1"/>
    <xf numFmtId="166" fontId="10" fillId="9" borderId="1" xfId="0" applyNumberFormat="1" applyFont="1" applyFill="1" applyBorder="1" applyAlignment="1">
      <alignment horizontal="right"/>
    </xf>
    <xf numFmtId="165" fontId="10" fillId="9" borderId="1" xfId="0" applyNumberFormat="1" applyFont="1" applyFill="1" applyBorder="1" applyAlignment="1">
      <alignment horizontal="right"/>
    </xf>
    <xf numFmtId="167" fontId="10" fillId="9" borderId="1" xfId="0" applyNumberFormat="1" applyFont="1" applyFill="1" applyBorder="1"/>
    <xf numFmtId="0" fontId="3" fillId="10" borderId="0" xfId="0" applyFont="1" applyFill="1"/>
    <xf numFmtId="166" fontId="10" fillId="9" borderId="0" xfId="0" applyNumberFormat="1" applyFont="1" applyFill="1"/>
    <xf numFmtId="0" fontId="9" fillId="11" borderId="1" xfId="0" applyFont="1" applyFill="1" applyBorder="1" applyAlignment="1">
      <alignment horizontal="center" vertical="center" wrapText="1"/>
    </xf>
    <xf numFmtId="164" fontId="11" fillId="7" borderId="1" xfId="0" applyNumberFormat="1" applyFont="1" applyFill="1" applyBorder="1"/>
    <xf numFmtId="0" fontId="5" fillId="12" borderId="0" xfId="0" applyFont="1" applyFill="1"/>
    <xf numFmtId="165" fontId="10" fillId="9" borderId="1" xfId="0" applyNumberFormat="1" applyFont="1" applyFill="1" applyBorder="1"/>
    <xf numFmtId="168" fontId="10" fillId="9" borderId="1" xfId="0" applyNumberFormat="1" applyFont="1" applyFill="1" applyBorder="1"/>
    <xf numFmtId="0" fontId="15" fillId="0" borderId="0" xfId="0" applyFont="1" applyAlignment="1">
      <alignment vertical="top" wrapText="1"/>
    </xf>
    <xf numFmtId="0" fontId="4" fillId="0" borderId="0" xfId="0" applyFont="1"/>
    <xf numFmtId="0" fontId="3" fillId="2" borderId="0" xfId="0" applyFont="1" applyFill="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center" wrapText="1"/>
    </xf>
    <xf numFmtId="0" fontId="2" fillId="0" borderId="0" xfId="0" applyFont="1"/>
    <xf numFmtId="0" fontId="15" fillId="0" borderId="0" xfId="0" applyFont="1" applyAlignment="1">
      <alignment vertical="top" wrapText="1"/>
    </xf>
    <xf numFmtId="0" fontId="5" fillId="0" borderId="0" xfId="0" applyFont="1" applyAlignment="1">
      <alignment horizontal="left"/>
    </xf>
    <xf numFmtId="0" fontId="8" fillId="3" borderId="0" xfId="0" applyFont="1" applyFill="1" applyAlignment="1">
      <alignment vertical="center"/>
    </xf>
    <xf numFmtId="0" fontId="10" fillId="9" borderId="0" xfId="0" applyFont="1" applyFill="1"/>
    <xf numFmtId="0" fontId="12" fillId="0" borderId="0" xfId="0" applyFont="1"/>
    <xf numFmtId="0" fontId="12" fillId="0" borderId="1" xfId="0" applyFont="1" applyBorder="1"/>
    <xf numFmtId="0" fontId="13" fillId="0" borderId="0" xfId="0" applyFont="1"/>
    <xf numFmtId="0" fontId="1" fillId="0" borderId="0" xfId="0" applyFont="1" applyAlignment="1">
      <alignmen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400"/>
      <rgbColor rgb="FF000080"/>
      <rgbColor rgb="FF548235"/>
      <rgbColor rgb="FF800080"/>
      <rgbColor rgb="FF008080"/>
      <rgbColor rgb="FFBFBFBF"/>
      <rgbColor rgb="FF808080"/>
      <rgbColor rgb="FF9999FF"/>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2E75B6"/>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2198012</xdr:colOff>
      <xdr:row>0</xdr:row>
      <xdr:rowOff>0</xdr:rowOff>
    </xdr:from>
    <xdr:to>
      <xdr:col>5</xdr:col>
      <xdr:colOff>167875</xdr:colOff>
      <xdr:row>3</xdr:row>
      <xdr:rowOff>30975</xdr:rowOff>
    </xdr:to>
    <xdr:pic>
      <xdr:nvPicPr>
        <xdr:cNvPr id="2" name="Picture 1">
          <a:extLst>
            <a:ext uri="{FF2B5EF4-FFF2-40B4-BE49-F238E27FC236}">
              <a16:creationId xmlns:a16="http://schemas.microsoft.com/office/drawing/2014/main" id="{251CB1E4-42F3-C56E-F4CA-FE88DF8CE56C}"/>
            </a:ext>
          </a:extLst>
        </xdr:cNvPr>
        <xdr:cNvPicPr>
          <a:picLocks noChangeAspect="1"/>
        </xdr:cNvPicPr>
      </xdr:nvPicPr>
      <xdr:blipFill>
        <a:blip xmlns:r="http://schemas.openxmlformats.org/officeDocument/2006/relationships" r:embed="rId1"/>
        <a:stretch>
          <a:fillRect/>
        </a:stretch>
      </xdr:blipFill>
      <xdr:spPr>
        <a:xfrm>
          <a:off x="11037212" y="0"/>
          <a:ext cx="865463" cy="711695"/>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9"/>
  <sheetViews>
    <sheetView showGridLines="0" tabSelected="1" zoomScale="125" zoomScaleNormal="100" workbookViewId="0">
      <selection activeCell="B29" sqref="B29:E29"/>
    </sheetView>
  </sheetViews>
  <sheetFormatPr baseColWidth="10" defaultColWidth="8.6640625" defaultRowHeight="15" x14ac:dyDescent="0.2"/>
  <cols>
    <col min="1" max="1" width="2" customWidth="1"/>
    <col min="2" max="5" width="38" customWidth="1"/>
  </cols>
  <sheetData>
    <row r="2" spans="2:5" ht="23" x14ac:dyDescent="0.25">
      <c r="B2" s="61" t="s">
        <v>158</v>
      </c>
      <c r="C2" s="61"/>
      <c r="D2" s="61"/>
      <c r="E2" s="61"/>
    </row>
    <row r="3" spans="2:5" x14ac:dyDescent="0.2">
      <c r="B3" s="63"/>
      <c r="C3" s="63"/>
      <c r="D3" s="63"/>
      <c r="E3" s="52"/>
    </row>
    <row r="5" spans="2:5" x14ac:dyDescent="0.2">
      <c r="B5" s="57" t="s">
        <v>159</v>
      </c>
      <c r="C5" s="57"/>
      <c r="D5" s="57"/>
      <c r="E5" s="57"/>
    </row>
    <row r="6" spans="2:5" ht="38" customHeight="1" x14ac:dyDescent="0.2">
      <c r="B6" s="62" t="s">
        <v>160</v>
      </c>
      <c r="C6" s="62"/>
      <c r="D6" s="62"/>
      <c r="E6" s="62"/>
    </row>
    <row r="7" spans="2:5" ht="42" customHeight="1" x14ac:dyDescent="0.2">
      <c r="B7" s="62" t="s">
        <v>161</v>
      </c>
      <c r="C7" s="62"/>
      <c r="D7" s="62"/>
      <c r="E7" s="62"/>
    </row>
    <row r="8" spans="2:5" ht="27" customHeight="1" x14ac:dyDescent="0.2">
      <c r="B8" s="62" t="s">
        <v>162</v>
      </c>
      <c r="C8" s="62"/>
      <c r="D8" s="62"/>
      <c r="E8" s="62"/>
    </row>
    <row r="9" spans="2:5" ht="27" customHeight="1" x14ac:dyDescent="0.2">
      <c r="B9" s="55"/>
      <c r="C9" s="55"/>
      <c r="D9" s="55"/>
      <c r="E9" s="55"/>
    </row>
    <row r="10" spans="2:5" x14ac:dyDescent="0.2">
      <c r="B10" s="57" t="s">
        <v>163</v>
      </c>
      <c r="C10" s="57"/>
      <c r="D10" s="57"/>
      <c r="E10" s="57"/>
    </row>
    <row r="11" spans="2:5" ht="34" customHeight="1" x14ac:dyDescent="0.2">
      <c r="B11" s="62" t="s">
        <v>164</v>
      </c>
      <c r="C11" s="62"/>
      <c r="D11" s="62"/>
      <c r="E11" s="62"/>
    </row>
    <row r="13" spans="2:5" x14ac:dyDescent="0.2">
      <c r="B13" s="57" t="s">
        <v>0</v>
      </c>
      <c r="C13" s="57"/>
      <c r="D13" s="57"/>
      <c r="E13" s="57"/>
    </row>
    <row r="15" spans="2:5" ht="27.75" customHeight="1" x14ac:dyDescent="0.2">
      <c r="B15" s="48" t="s">
        <v>155</v>
      </c>
      <c r="C15" s="59" t="s">
        <v>1</v>
      </c>
      <c r="D15" s="59"/>
      <c r="E15" s="59"/>
    </row>
    <row r="16" spans="2:5" ht="27.75" customHeight="1" x14ac:dyDescent="0.2">
      <c r="B16" s="48" t="s">
        <v>165</v>
      </c>
      <c r="C16" s="59" t="s">
        <v>2</v>
      </c>
      <c r="D16" s="59"/>
      <c r="E16" s="59"/>
    </row>
    <row r="17" spans="2:5" ht="27.75" customHeight="1" x14ac:dyDescent="0.2">
      <c r="B17" s="48" t="s">
        <v>3</v>
      </c>
      <c r="C17" s="60" t="s">
        <v>149</v>
      </c>
      <c r="D17" s="59"/>
      <c r="E17" s="59"/>
    </row>
    <row r="18" spans="2:5" ht="27.75" customHeight="1" x14ac:dyDescent="0.2">
      <c r="B18" s="48" t="s">
        <v>4</v>
      </c>
      <c r="C18" s="60" t="s">
        <v>5</v>
      </c>
      <c r="D18" s="59"/>
      <c r="E18" s="59"/>
    </row>
    <row r="19" spans="2:5" ht="27.75" customHeight="1" x14ac:dyDescent="0.2">
      <c r="B19" s="48" t="s">
        <v>6</v>
      </c>
      <c r="C19" s="59" t="s">
        <v>7</v>
      </c>
      <c r="D19" s="59"/>
      <c r="E19" s="59"/>
    </row>
    <row r="20" spans="2:5" ht="27.75" customHeight="1" x14ac:dyDescent="0.2">
      <c r="B20" s="48" t="s">
        <v>8</v>
      </c>
      <c r="C20" s="59" t="s">
        <v>9</v>
      </c>
      <c r="D20" s="59"/>
      <c r="E20" s="59"/>
    </row>
    <row r="21" spans="2:5" ht="27.75" customHeight="1" x14ac:dyDescent="0.2">
      <c r="B21" s="48" t="s">
        <v>150</v>
      </c>
      <c r="C21" s="59" t="s">
        <v>10</v>
      </c>
      <c r="D21" s="59"/>
      <c r="E21" s="59"/>
    </row>
    <row r="23" spans="2:5" x14ac:dyDescent="0.2">
      <c r="B23" s="57" t="s">
        <v>11</v>
      </c>
      <c r="C23" s="57"/>
      <c r="D23" s="57"/>
      <c r="E23" s="57"/>
    </row>
    <row r="24" spans="2:5" x14ac:dyDescent="0.2">
      <c r="B24" s="52" t="s">
        <v>12</v>
      </c>
      <c r="C24" s="56" t="s">
        <v>13</v>
      </c>
      <c r="D24" s="56"/>
      <c r="E24" s="56"/>
    </row>
    <row r="25" spans="2:5" x14ac:dyDescent="0.2">
      <c r="B25" s="3" t="s">
        <v>14</v>
      </c>
      <c r="C25" s="56" t="s">
        <v>15</v>
      </c>
      <c r="D25" s="56"/>
      <c r="E25" s="56"/>
    </row>
    <row r="26" spans="2:5" x14ac:dyDescent="0.2">
      <c r="B26" s="4" t="s">
        <v>16</v>
      </c>
      <c r="C26" s="56" t="s">
        <v>17</v>
      </c>
      <c r="D26" s="56"/>
      <c r="E26" s="56"/>
    </row>
    <row r="28" spans="2:5" x14ac:dyDescent="0.2">
      <c r="B28" s="57" t="s">
        <v>18</v>
      </c>
      <c r="C28" s="57"/>
      <c r="D28" s="57"/>
      <c r="E28" s="57"/>
    </row>
    <row r="29" spans="2:5" ht="60" customHeight="1" x14ac:dyDescent="0.2">
      <c r="B29" s="69" t="s">
        <v>166</v>
      </c>
      <c r="C29" s="58"/>
      <c r="D29" s="58"/>
      <c r="E29" s="58"/>
    </row>
  </sheetData>
  <sheetProtection algorithmName="SHA-512" hashValue="ScQH88OKsvYPjgoTW+futW9Z8FSGOxE58B9E1EcbuzTR0L6wiDKPxdiWRESfRjpHaLv5F9RKFxF+qeNIjfypHg==" saltValue="cqKvYl/3syONYCyu0qNUWg==" spinCount="100000" sheet="1" objects="1" scenarios="1"/>
  <mergeCells count="22">
    <mergeCell ref="B2:E2"/>
    <mergeCell ref="B5:E5"/>
    <mergeCell ref="B6:E6"/>
    <mergeCell ref="B13:E13"/>
    <mergeCell ref="B3:D3"/>
    <mergeCell ref="B7:E7"/>
    <mergeCell ref="B8:E8"/>
    <mergeCell ref="B11:E11"/>
    <mergeCell ref="B10:E10"/>
    <mergeCell ref="C15:E15"/>
    <mergeCell ref="C16:E16"/>
    <mergeCell ref="C17:E17"/>
    <mergeCell ref="C18:E18"/>
    <mergeCell ref="C19:E19"/>
    <mergeCell ref="C26:E26"/>
    <mergeCell ref="B28:E28"/>
    <mergeCell ref="B29:E29"/>
    <mergeCell ref="C20:E20"/>
    <mergeCell ref="C21:E21"/>
    <mergeCell ref="B23:E23"/>
    <mergeCell ref="C24:E24"/>
    <mergeCell ref="C25:E25"/>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36"/>
  <sheetViews>
    <sheetView showGridLines="0" zoomScale="125" zoomScaleNormal="100" workbookViewId="0">
      <selection activeCell="C12" sqref="C12"/>
    </sheetView>
  </sheetViews>
  <sheetFormatPr baseColWidth="10" defaultColWidth="8.6640625" defaultRowHeight="15" x14ac:dyDescent="0.2"/>
  <cols>
    <col min="1" max="1" width="2" customWidth="1"/>
    <col min="2" max="2" width="32" customWidth="1"/>
    <col min="3" max="4" width="12" customWidth="1"/>
    <col min="5" max="6" width="18" customWidth="1"/>
  </cols>
  <sheetData>
    <row r="2" spans="2:6" ht="27.75" customHeight="1" x14ac:dyDescent="0.2">
      <c r="B2" s="64" t="s">
        <v>47</v>
      </c>
      <c r="C2" s="64"/>
      <c r="D2" s="64"/>
      <c r="E2" s="64"/>
      <c r="F2" s="64"/>
    </row>
    <row r="4" spans="2:6" x14ac:dyDescent="0.2">
      <c r="B4" s="2" t="s">
        <v>48</v>
      </c>
      <c r="C4" s="65" t="s">
        <v>49</v>
      </c>
      <c r="D4" s="65"/>
      <c r="E4" s="65"/>
      <c r="F4" s="65"/>
    </row>
    <row r="5" spans="2:6" x14ac:dyDescent="0.2">
      <c r="B5" s="2" t="s">
        <v>50</v>
      </c>
      <c r="C5" s="49">
        <v>1</v>
      </c>
      <c r="D5" s="66" t="s">
        <v>51</v>
      </c>
      <c r="E5" s="66"/>
      <c r="F5" s="66"/>
    </row>
    <row r="7" spans="2:6" ht="31.5" customHeight="1" x14ac:dyDescent="0.2">
      <c r="B7" s="5" t="s">
        <v>154</v>
      </c>
      <c r="C7" s="5" t="s">
        <v>52</v>
      </c>
      <c r="D7" s="5" t="s">
        <v>21</v>
      </c>
      <c r="E7" s="5" t="s">
        <v>53</v>
      </c>
      <c r="F7" s="5" t="s">
        <v>54</v>
      </c>
    </row>
    <row r="8" spans="2:6" ht="16" customHeight="1" x14ac:dyDescent="0.2">
      <c r="B8" s="50"/>
      <c r="C8" s="50"/>
      <c r="D8" s="50"/>
      <c r="E8" s="50"/>
      <c r="F8" s="50"/>
    </row>
    <row r="9" spans="2:6" x14ac:dyDescent="0.2">
      <c r="B9" s="11" t="s">
        <v>25</v>
      </c>
      <c r="C9" s="11">
        <v>150</v>
      </c>
      <c r="D9" s="11" t="s">
        <v>55</v>
      </c>
      <c r="E9" s="14">
        <f>IFERROR(VLOOKUP(B9,'02_Einkaufspreise'!B:F,5,FALSE()),0)</f>
        <v>50.526315789473685</v>
      </c>
      <c r="F9" s="12">
        <f t="shared" ref="F9:F33" si="0">IFERROR(C9*E9*IF(OR(D9="g",D9="ml"),0.001,IF(D9="TL",0.005,IF(D9="EL",0.015,1))),0)</f>
        <v>7.5789473684210522</v>
      </c>
    </row>
    <row r="10" spans="2:6" x14ac:dyDescent="0.2">
      <c r="B10" s="11" t="s">
        <v>27</v>
      </c>
      <c r="C10" s="11">
        <v>60</v>
      </c>
      <c r="D10" s="11" t="s">
        <v>55</v>
      </c>
      <c r="E10" s="14">
        <f>IFERROR(VLOOKUP(B10,'02_Einkaufspreise'!B:F,5,FALSE()),0)</f>
        <v>9.4444444444444446</v>
      </c>
      <c r="F10" s="12">
        <f t="shared" si="0"/>
        <v>0.56666666666666665</v>
      </c>
    </row>
    <row r="11" spans="2:6" x14ac:dyDescent="0.2">
      <c r="B11" s="11" t="s">
        <v>28</v>
      </c>
      <c r="C11" s="11">
        <v>55</v>
      </c>
      <c r="D11" s="11" t="s">
        <v>55</v>
      </c>
      <c r="E11" s="14">
        <f>IFERROR(VLOOKUP(B11,'02_Einkaufspreise'!B:F,5,FALSE()),0)</f>
        <v>2.5882352941176472</v>
      </c>
      <c r="F11" s="12">
        <f t="shared" si="0"/>
        <v>0.1423529411764706</v>
      </c>
    </row>
    <row r="12" spans="2:6" x14ac:dyDescent="0.2">
      <c r="B12" s="11" t="s">
        <v>29</v>
      </c>
      <c r="C12" s="11">
        <v>80</v>
      </c>
      <c r="D12" s="11" t="s">
        <v>56</v>
      </c>
      <c r="E12" s="14">
        <f>IFERROR(VLOOKUP(B12,'02_Einkaufspreise'!B:F,5,FALSE()),0)</f>
        <v>6.8</v>
      </c>
      <c r="F12" s="12">
        <f t="shared" si="0"/>
        <v>0.54400000000000004</v>
      </c>
    </row>
    <row r="13" spans="2:6" x14ac:dyDescent="0.2">
      <c r="B13" s="11" t="s">
        <v>31</v>
      </c>
      <c r="C13" s="11">
        <v>30</v>
      </c>
      <c r="D13" s="11" t="s">
        <v>56</v>
      </c>
      <c r="E13" s="14">
        <f>IFERROR(VLOOKUP(B13,'02_Einkaufspreise'!B:F,5,FALSE()),0)</f>
        <v>9.5</v>
      </c>
      <c r="F13" s="12">
        <f t="shared" si="0"/>
        <v>0.28500000000000003</v>
      </c>
    </row>
    <row r="14" spans="2:6" x14ac:dyDescent="0.2">
      <c r="B14" s="11" t="s">
        <v>32</v>
      </c>
      <c r="C14" s="11">
        <v>20</v>
      </c>
      <c r="D14" s="11" t="s">
        <v>55</v>
      </c>
      <c r="E14" s="14">
        <f>IFERROR(VLOOKUP(B14,'02_Einkaufspreise'!B:F,5,FALSE()),0)</f>
        <v>14.5</v>
      </c>
      <c r="F14" s="12">
        <f t="shared" si="0"/>
        <v>0.28999999999999998</v>
      </c>
    </row>
    <row r="15" spans="2:6" x14ac:dyDescent="0.2">
      <c r="B15" s="11" t="s">
        <v>33</v>
      </c>
      <c r="C15" s="11">
        <v>220</v>
      </c>
      <c r="D15" s="11" t="s">
        <v>55</v>
      </c>
      <c r="E15" s="14">
        <f>IFERROR(VLOOKUP(B15,'02_Einkaufspreise'!B:F,5,FALSE()),0)</f>
        <v>2.9268292682926824</v>
      </c>
      <c r="F15" s="12">
        <f t="shared" si="0"/>
        <v>0.64390243902439015</v>
      </c>
    </row>
    <row r="16" spans="2:6" x14ac:dyDescent="0.2">
      <c r="B16" s="11" t="s">
        <v>34</v>
      </c>
      <c r="C16" s="11">
        <v>60</v>
      </c>
      <c r="D16" s="11" t="s">
        <v>55</v>
      </c>
      <c r="E16" s="14">
        <f>IFERROR(VLOOKUP(B16,'02_Einkaufspreise'!B:F,5,FALSE()),0)</f>
        <v>11.499999999999998</v>
      </c>
      <c r="F16" s="12">
        <f t="shared" si="0"/>
        <v>0.69</v>
      </c>
    </row>
    <row r="17" spans="2:6" x14ac:dyDescent="0.2">
      <c r="B17" s="11" t="s">
        <v>35</v>
      </c>
      <c r="C17" s="11">
        <v>20</v>
      </c>
      <c r="D17" s="11" t="s">
        <v>56</v>
      </c>
      <c r="E17" s="14">
        <f>IFERROR(VLOOKUP(B17,'02_Einkaufspreise'!B:F,5,FALSE()),0)</f>
        <v>7.8</v>
      </c>
      <c r="F17" s="12">
        <f t="shared" si="0"/>
        <v>0.156</v>
      </c>
    </row>
    <row r="18" spans="2:6" x14ac:dyDescent="0.2">
      <c r="B18" s="11" t="s">
        <v>36</v>
      </c>
      <c r="C18" s="11">
        <v>3</v>
      </c>
      <c r="D18" s="11" t="s">
        <v>55</v>
      </c>
      <c r="E18" s="14">
        <f>IFERROR(VLOOKUP(B18,'02_Einkaufspreise'!B:F,5,FALSE()),0)</f>
        <v>31.428571428571431</v>
      </c>
      <c r="F18" s="12">
        <f t="shared" si="0"/>
        <v>9.4285714285714292E-2</v>
      </c>
    </row>
    <row r="19" spans="2:6" x14ac:dyDescent="0.2">
      <c r="B19" s="11" t="s">
        <v>37</v>
      </c>
      <c r="C19" s="11">
        <v>2</v>
      </c>
      <c r="D19" s="11" t="s">
        <v>55</v>
      </c>
      <c r="E19" s="14">
        <f>IFERROR(VLOOKUP(B19,'02_Einkaufspreise'!B:F,5,FALSE()),0)</f>
        <v>1.5</v>
      </c>
      <c r="F19" s="12">
        <f t="shared" si="0"/>
        <v>3.0000000000000001E-3</v>
      </c>
    </row>
    <row r="20" spans="2:6" x14ac:dyDescent="0.2">
      <c r="B20" s="11" t="s">
        <v>38</v>
      </c>
      <c r="C20" s="11">
        <v>1</v>
      </c>
      <c r="D20" s="11" t="s">
        <v>55</v>
      </c>
      <c r="E20" s="14">
        <f>IFERROR(VLOOKUP(B20,'02_Einkaufspreise'!B:F,5,FALSE()),0)</f>
        <v>38</v>
      </c>
      <c r="F20" s="12">
        <f t="shared" si="0"/>
        <v>3.7999999999999999E-2</v>
      </c>
    </row>
    <row r="21" spans="2:6" x14ac:dyDescent="0.2">
      <c r="B21" s="11" t="s">
        <v>39</v>
      </c>
      <c r="C21" s="11">
        <v>5</v>
      </c>
      <c r="D21" s="11" t="s">
        <v>55</v>
      </c>
      <c r="E21" s="14">
        <f>IFERROR(VLOOKUP(B21,'02_Einkaufspreise'!B:F,5,FALSE()),0)</f>
        <v>1.8</v>
      </c>
      <c r="F21" s="12">
        <f t="shared" si="0"/>
        <v>9.0000000000000011E-3</v>
      </c>
    </row>
    <row r="22" spans="2:6" x14ac:dyDescent="0.2">
      <c r="B22" s="11" t="s">
        <v>40</v>
      </c>
      <c r="C22" s="11">
        <v>4</v>
      </c>
      <c r="D22" s="11" t="s">
        <v>55</v>
      </c>
      <c r="E22" s="14">
        <f>IFERROR(VLOOKUP(B22,'02_Einkaufspreise'!B:F,5,FALSE()),0)</f>
        <v>18</v>
      </c>
      <c r="F22" s="12">
        <f t="shared" si="0"/>
        <v>7.2000000000000008E-2</v>
      </c>
    </row>
    <row r="23" spans="2:6" x14ac:dyDescent="0.2">
      <c r="B23" s="13"/>
      <c r="C23" s="13"/>
      <c r="D23" s="13"/>
      <c r="E23" s="14">
        <f>IFERROR(VLOOKUP(B23,'02_Einkaufspreise'!B:F,5,FALSE()),0)</f>
        <v>0</v>
      </c>
      <c r="F23" s="12">
        <f t="shared" si="0"/>
        <v>0</v>
      </c>
    </row>
    <row r="24" spans="2:6" x14ac:dyDescent="0.2">
      <c r="B24" s="13"/>
      <c r="C24" s="13"/>
      <c r="D24" s="13"/>
      <c r="E24" s="14">
        <f>IFERROR(VLOOKUP(B24,'02_Einkaufspreise'!B:F,5,FALSE()),0)</f>
        <v>0</v>
      </c>
      <c r="F24" s="12">
        <f t="shared" si="0"/>
        <v>0</v>
      </c>
    </row>
    <row r="25" spans="2:6" x14ac:dyDescent="0.2">
      <c r="B25" s="13"/>
      <c r="C25" s="13"/>
      <c r="D25" s="13"/>
      <c r="E25" s="14">
        <f>IFERROR(VLOOKUP(B25,'02_Einkaufspreise'!B:F,5,FALSE()),0)</f>
        <v>0</v>
      </c>
      <c r="F25" s="12">
        <f t="shared" si="0"/>
        <v>0</v>
      </c>
    </row>
    <row r="26" spans="2:6" x14ac:dyDescent="0.2">
      <c r="B26" s="13"/>
      <c r="C26" s="13"/>
      <c r="D26" s="13"/>
      <c r="E26" s="14">
        <f>IFERROR(VLOOKUP(B26,'02_Einkaufspreise'!B:F,5,FALSE()),0)</f>
        <v>0</v>
      </c>
      <c r="F26" s="12">
        <f t="shared" si="0"/>
        <v>0</v>
      </c>
    </row>
    <row r="27" spans="2:6" x14ac:dyDescent="0.2">
      <c r="B27" s="13"/>
      <c r="C27" s="13"/>
      <c r="D27" s="13"/>
      <c r="E27" s="14">
        <f>IFERROR(VLOOKUP(B27,'02_Einkaufspreise'!B:F,5,FALSE()),0)</f>
        <v>0</v>
      </c>
      <c r="F27" s="12">
        <f t="shared" si="0"/>
        <v>0</v>
      </c>
    </row>
    <row r="28" spans="2:6" x14ac:dyDescent="0.2">
      <c r="B28" s="13"/>
      <c r="C28" s="13"/>
      <c r="D28" s="13"/>
      <c r="E28" s="14">
        <f>IFERROR(VLOOKUP(B28,'02_Einkaufspreise'!B:F,5,FALSE()),0)</f>
        <v>0</v>
      </c>
      <c r="F28" s="12">
        <f t="shared" si="0"/>
        <v>0</v>
      </c>
    </row>
    <row r="29" spans="2:6" x14ac:dyDescent="0.2">
      <c r="B29" s="13"/>
      <c r="C29" s="13"/>
      <c r="D29" s="13"/>
      <c r="E29" s="14">
        <f>IFERROR(VLOOKUP(B29,'02_Einkaufspreise'!B:F,5,FALSE()),0)</f>
        <v>0</v>
      </c>
      <c r="F29" s="12">
        <f t="shared" si="0"/>
        <v>0</v>
      </c>
    </row>
    <row r="30" spans="2:6" x14ac:dyDescent="0.2">
      <c r="B30" s="13"/>
      <c r="C30" s="13"/>
      <c r="D30" s="13"/>
      <c r="E30" s="14">
        <f>IFERROR(VLOOKUP(B30,'02_Einkaufspreise'!B:F,5,FALSE()),0)</f>
        <v>0</v>
      </c>
      <c r="F30" s="12">
        <f t="shared" si="0"/>
        <v>0</v>
      </c>
    </row>
    <row r="31" spans="2:6" x14ac:dyDescent="0.2">
      <c r="B31" s="13"/>
      <c r="C31" s="13"/>
      <c r="D31" s="13"/>
      <c r="E31" s="14">
        <f>IFERROR(VLOOKUP(B31,'02_Einkaufspreise'!B:F,5,FALSE()),0)</f>
        <v>0</v>
      </c>
      <c r="F31" s="12">
        <f t="shared" si="0"/>
        <v>0</v>
      </c>
    </row>
    <row r="32" spans="2:6" x14ac:dyDescent="0.2">
      <c r="B32" s="13"/>
      <c r="C32" s="13"/>
      <c r="D32" s="13"/>
      <c r="E32" s="14">
        <f>IFERROR(VLOOKUP(B32,'02_Einkaufspreise'!B:F,5,FALSE()),0)</f>
        <v>0</v>
      </c>
      <c r="F32" s="12">
        <f t="shared" si="0"/>
        <v>0</v>
      </c>
    </row>
    <row r="33" spans="2:6" x14ac:dyDescent="0.2">
      <c r="B33" s="13"/>
      <c r="C33" s="13"/>
      <c r="D33" s="13"/>
      <c r="E33" s="14">
        <f>IFERROR(VLOOKUP(B33,'02_Einkaufspreise'!B:F,5,FALSE()),0)</f>
        <v>0</v>
      </c>
      <c r="F33" s="12">
        <f t="shared" si="0"/>
        <v>0</v>
      </c>
    </row>
    <row r="35" spans="2:6" x14ac:dyDescent="0.2">
      <c r="B35" s="15" t="s">
        <v>57</v>
      </c>
      <c r="C35" s="13"/>
      <c r="D35" s="13"/>
      <c r="E35" s="13"/>
      <c r="F35" s="16">
        <f>SUM(F9:F33)</f>
        <v>11.113155129574295</v>
      </c>
    </row>
    <row r="36" spans="2:6" x14ac:dyDescent="0.2">
      <c r="B36" s="17" t="s">
        <v>58</v>
      </c>
      <c r="C36" s="13"/>
      <c r="D36" s="13"/>
      <c r="E36" s="13"/>
      <c r="F36" s="18">
        <f>F35/C5</f>
        <v>11.113155129574295</v>
      </c>
    </row>
  </sheetData>
  <mergeCells count="3">
    <mergeCell ref="B2:F2"/>
    <mergeCell ref="C4:F4"/>
    <mergeCell ref="D5:F5"/>
  </mergeCells>
  <dataValidations count="1">
    <dataValidation type="list" allowBlank="1" sqref="D9:D33" xr:uid="{00000000-0002-0000-0200-000001000000}">
      <formula1>"g,kg,ml,L,Stk,TL,EL"</formula1>
      <formula2>0</formula2>
    </dataValidation>
  </dataValidation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xr:uid="{00000000-0002-0000-0200-000000000000}">
          <x14:formula1>
            <xm:f>'02_Einkaufspreise'!$B$5:$B$54</xm:f>
          </x14:formula1>
          <x14:formula2>
            <xm:f>0</xm:f>
          </x14:formula2>
          <xm:sqref>B9:B33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54"/>
  <sheetViews>
    <sheetView showGridLines="0" topLeftCell="B1" zoomScaleNormal="100" workbookViewId="0">
      <selection activeCell="D53" sqref="D53"/>
    </sheetView>
  </sheetViews>
  <sheetFormatPr baseColWidth="10" defaultColWidth="8.6640625" defaultRowHeight="15" x14ac:dyDescent="0.2"/>
  <cols>
    <col min="1" max="1" width="2" customWidth="1"/>
    <col min="2" max="2" width="32" customWidth="1"/>
    <col min="3" max="3" width="12" customWidth="1"/>
    <col min="4" max="4" width="18" customWidth="1"/>
    <col min="5" max="5" width="14" customWidth="1"/>
    <col min="6" max="6" width="18" customWidth="1"/>
  </cols>
  <sheetData>
    <row r="2" spans="2:6" ht="27.75" customHeight="1" x14ac:dyDescent="0.2">
      <c r="B2" s="64" t="s">
        <v>19</v>
      </c>
      <c r="C2" s="64"/>
      <c r="D2" s="64"/>
      <c r="E2" s="64"/>
      <c r="F2" s="64"/>
    </row>
    <row r="3" spans="2:6" ht="31.5" customHeight="1" x14ac:dyDescent="0.2">
      <c r="B3" s="5" t="s">
        <v>20</v>
      </c>
      <c r="C3" s="5" t="s">
        <v>21</v>
      </c>
      <c r="D3" s="5" t="s">
        <v>22</v>
      </c>
      <c r="E3" s="5" t="s">
        <v>23</v>
      </c>
      <c r="F3" s="5" t="s">
        <v>24</v>
      </c>
    </row>
    <row r="4" spans="2:6" ht="16" customHeight="1" x14ac:dyDescent="0.2">
      <c r="B4" s="50"/>
      <c r="C4" s="50"/>
      <c r="D4" s="50"/>
      <c r="E4" s="50"/>
      <c r="F4" s="50"/>
    </row>
    <row r="5" spans="2:6" x14ac:dyDescent="0.2">
      <c r="B5" s="6" t="s">
        <v>25</v>
      </c>
      <c r="C5" s="6" t="s">
        <v>26</v>
      </c>
      <c r="D5" s="40">
        <v>48</v>
      </c>
      <c r="E5" s="41">
        <v>0.05</v>
      </c>
      <c r="F5" s="9">
        <f>IF(B5="","",IFERROR(D5/(1-E5),0))</f>
        <v>50.526315789473685</v>
      </c>
    </row>
    <row r="6" spans="2:6" x14ac:dyDescent="0.2">
      <c r="B6" s="11" t="s">
        <v>27</v>
      </c>
      <c r="C6" s="11" t="s">
        <v>26</v>
      </c>
      <c r="D6" s="7">
        <v>8.5</v>
      </c>
      <c r="E6" s="8">
        <v>0.1</v>
      </c>
      <c r="F6" s="12">
        <f>IF(B6="","",IFERROR(D6/(1-E6),0))</f>
        <v>9.4444444444444446</v>
      </c>
    </row>
    <row r="7" spans="2:6" x14ac:dyDescent="0.2">
      <c r="B7" s="42" t="s">
        <v>28</v>
      </c>
      <c r="C7" s="42" t="s">
        <v>26</v>
      </c>
      <c r="D7" s="40">
        <v>2.2000000000000002</v>
      </c>
      <c r="E7" s="41">
        <v>0.15</v>
      </c>
      <c r="F7" s="51">
        <f t="shared" ref="F7:F54" si="0">IF(B7="","",IFERROR(D7/(1-E7),0))</f>
        <v>2.5882352941176472</v>
      </c>
    </row>
    <row r="8" spans="2:6" x14ac:dyDescent="0.2">
      <c r="B8" s="11" t="s">
        <v>29</v>
      </c>
      <c r="C8" s="11" t="s">
        <v>30</v>
      </c>
      <c r="D8" s="7">
        <v>6.8</v>
      </c>
      <c r="E8" s="8">
        <v>0</v>
      </c>
      <c r="F8" s="12">
        <f t="shared" si="0"/>
        <v>6.8</v>
      </c>
    </row>
    <row r="9" spans="2:6" x14ac:dyDescent="0.2">
      <c r="B9" s="6" t="s">
        <v>31</v>
      </c>
      <c r="C9" s="6" t="s">
        <v>30</v>
      </c>
      <c r="D9" s="40">
        <v>9.5</v>
      </c>
      <c r="E9" s="41">
        <v>0</v>
      </c>
      <c r="F9" s="51">
        <f t="shared" si="0"/>
        <v>9.5</v>
      </c>
    </row>
    <row r="10" spans="2:6" x14ac:dyDescent="0.2">
      <c r="B10" s="11" t="s">
        <v>32</v>
      </c>
      <c r="C10" s="11" t="s">
        <v>26</v>
      </c>
      <c r="D10" s="7">
        <v>14.5</v>
      </c>
      <c r="E10" s="8">
        <v>0</v>
      </c>
      <c r="F10" s="12">
        <f t="shared" si="0"/>
        <v>14.5</v>
      </c>
    </row>
    <row r="11" spans="2:6" x14ac:dyDescent="0.2">
      <c r="B11" s="6" t="s">
        <v>33</v>
      </c>
      <c r="C11" s="6" t="s">
        <v>26</v>
      </c>
      <c r="D11" s="40">
        <v>2.4</v>
      </c>
      <c r="E11" s="41">
        <v>0.18</v>
      </c>
      <c r="F11" s="51">
        <f t="shared" si="0"/>
        <v>2.9268292682926824</v>
      </c>
    </row>
    <row r="12" spans="2:6" x14ac:dyDescent="0.2">
      <c r="B12" s="11" t="s">
        <v>34</v>
      </c>
      <c r="C12" s="11" t="s">
        <v>26</v>
      </c>
      <c r="D12" s="7">
        <v>9.1999999999999993</v>
      </c>
      <c r="E12" s="8">
        <v>0.2</v>
      </c>
      <c r="F12" s="12">
        <f t="shared" si="0"/>
        <v>11.499999999999998</v>
      </c>
    </row>
    <row r="13" spans="2:6" x14ac:dyDescent="0.2">
      <c r="B13" s="6" t="s">
        <v>35</v>
      </c>
      <c r="C13" s="6" t="s">
        <v>30</v>
      </c>
      <c r="D13" s="40">
        <v>7.8</v>
      </c>
      <c r="E13" s="41">
        <v>0</v>
      </c>
      <c r="F13" s="51">
        <f t="shared" si="0"/>
        <v>7.8</v>
      </c>
    </row>
    <row r="14" spans="2:6" x14ac:dyDescent="0.2">
      <c r="B14" s="11" t="s">
        <v>36</v>
      </c>
      <c r="C14" s="11" t="s">
        <v>26</v>
      </c>
      <c r="D14" s="7">
        <v>22</v>
      </c>
      <c r="E14" s="8">
        <v>0.3</v>
      </c>
      <c r="F14" s="12">
        <f t="shared" si="0"/>
        <v>31.428571428571431</v>
      </c>
    </row>
    <row r="15" spans="2:6" x14ac:dyDescent="0.2">
      <c r="B15" s="6" t="s">
        <v>37</v>
      </c>
      <c r="C15" s="6" t="s">
        <v>26</v>
      </c>
      <c r="D15" s="40">
        <v>1.5</v>
      </c>
      <c r="E15" s="41">
        <v>0</v>
      </c>
      <c r="F15" s="51">
        <f t="shared" si="0"/>
        <v>1.5</v>
      </c>
    </row>
    <row r="16" spans="2:6" x14ac:dyDescent="0.2">
      <c r="B16" s="11" t="s">
        <v>38</v>
      </c>
      <c r="C16" s="11" t="s">
        <v>26</v>
      </c>
      <c r="D16" s="7">
        <v>38</v>
      </c>
      <c r="E16" s="8">
        <v>0</v>
      </c>
      <c r="F16" s="12">
        <f t="shared" si="0"/>
        <v>38</v>
      </c>
    </row>
    <row r="17" spans="2:6" x14ac:dyDescent="0.2">
      <c r="B17" s="6" t="s">
        <v>39</v>
      </c>
      <c r="C17" s="6" t="s">
        <v>26</v>
      </c>
      <c r="D17" s="40">
        <v>1.8</v>
      </c>
      <c r="E17" s="41">
        <v>0</v>
      </c>
      <c r="F17" s="51">
        <f t="shared" si="0"/>
        <v>1.8</v>
      </c>
    </row>
    <row r="18" spans="2:6" x14ac:dyDescent="0.2">
      <c r="B18" s="11" t="s">
        <v>40</v>
      </c>
      <c r="C18" s="11" t="s">
        <v>26</v>
      </c>
      <c r="D18" s="7">
        <v>18</v>
      </c>
      <c r="E18" s="8">
        <v>0</v>
      </c>
      <c r="F18" s="12">
        <f t="shared" si="0"/>
        <v>18</v>
      </c>
    </row>
    <row r="19" spans="2:6" x14ac:dyDescent="0.2">
      <c r="B19" s="6" t="s">
        <v>41</v>
      </c>
      <c r="C19" s="6" t="s">
        <v>26</v>
      </c>
      <c r="D19" s="40">
        <v>28</v>
      </c>
      <c r="E19" s="41">
        <v>0</v>
      </c>
      <c r="F19" s="51">
        <f t="shared" si="0"/>
        <v>28</v>
      </c>
    </row>
    <row r="20" spans="2:6" x14ac:dyDescent="0.2">
      <c r="B20" s="11" t="s">
        <v>42</v>
      </c>
      <c r="C20" s="11" t="s">
        <v>30</v>
      </c>
      <c r="D20" s="7">
        <v>1.6</v>
      </c>
      <c r="E20" s="8">
        <v>0</v>
      </c>
      <c r="F20" s="12">
        <f t="shared" si="0"/>
        <v>1.6</v>
      </c>
    </row>
    <row r="21" spans="2:6" x14ac:dyDescent="0.2">
      <c r="B21" s="6" t="s">
        <v>43</v>
      </c>
      <c r="C21" s="6" t="s">
        <v>44</v>
      </c>
      <c r="D21" s="40">
        <v>0.95</v>
      </c>
      <c r="E21" s="41">
        <v>0</v>
      </c>
      <c r="F21" s="51">
        <f t="shared" si="0"/>
        <v>0.95</v>
      </c>
    </row>
    <row r="22" spans="2:6" x14ac:dyDescent="0.2">
      <c r="B22" s="11" t="s">
        <v>45</v>
      </c>
      <c r="C22" s="11" t="s">
        <v>44</v>
      </c>
      <c r="D22" s="7">
        <v>0.85</v>
      </c>
      <c r="E22" s="8">
        <v>0</v>
      </c>
      <c r="F22" s="12">
        <f t="shared" si="0"/>
        <v>0.85</v>
      </c>
    </row>
    <row r="23" spans="2:6" x14ac:dyDescent="0.2">
      <c r="B23" s="6" t="s">
        <v>46</v>
      </c>
      <c r="C23" s="6" t="s">
        <v>26</v>
      </c>
      <c r="D23" s="40">
        <v>6.5</v>
      </c>
      <c r="E23" s="41">
        <v>0</v>
      </c>
      <c r="F23" s="51">
        <f t="shared" si="0"/>
        <v>6.5</v>
      </c>
    </row>
    <row r="24" spans="2:6" x14ac:dyDescent="0.2">
      <c r="B24" s="13"/>
      <c r="C24" s="13"/>
      <c r="D24" s="13"/>
      <c r="E24" s="13"/>
      <c r="F24" s="12" t="str">
        <f t="shared" si="0"/>
        <v/>
      </c>
    </row>
    <row r="25" spans="2:6" x14ac:dyDescent="0.2">
      <c r="B25" s="13"/>
      <c r="C25" s="13"/>
      <c r="D25" s="13"/>
      <c r="E25" s="13"/>
      <c r="F25" s="12" t="str">
        <f t="shared" si="0"/>
        <v/>
      </c>
    </row>
    <row r="26" spans="2:6" x14ac:dyDescent="0.2">
      <c r="B26" s="13"/>
      <c r="C26" s="13"/>
      <c r="D26" s="13"/>
      <c r="E26" s="13"/>
      <c r="F26" s="12" t="str">
        <f t="shared" si="0"/>
        <v/>
      </c>
    </row>
    <row r="27" spans="2:6" x14ac:dyDescent="0.2">
      <c r="B27" s="13"/>
      <c r="C27" s="13"/>
      <c r="D27" s="13"/>
      <c r="E27" s="13"/>
      <c r="F27" s="12" t="str">
        <f t="shared" si="0"/>
        <v/>
      </c>
    </row>
    <row r="28" spans="2:6" x14ac:dyDescent="0.2">
      <c r="B28" s="13"/>
      <c r="C28" s="13"/>
      <c r="D28" s="13"/>
      <c r="E28" s="13"/>
      <c r="F28" s="12" t="str">
        <f t="shared" si="0"/>
        <v/>
      </c>
    </row>
    <row r="29" spans="2:6" x14ac:dyDescent="0.2">
      <c r="B29" s="13"/>
      <c r="C29" s="13"/>
      <c r="D29" s="13"/>
      <c r="E29" s="13"/>
      <c r="F29" s="12" t="str">
        <f t="shared" si="0"/>
        <v/>
      </c>
    </row>
    <row r="30" spans="2:6" x14ac:dyDescent="0.2">
      <c r="B30" s="13"/>
      <c r="C30" s="13"/>
      <c r="D30" s="13"/>
      <c r="E30" s="13"/>
      <c r="F30" s="12" t="str">
        <f t="shared" si="0"/>
        <v/>
      </c>
    </row>
    <row r="31" spans="2:6" x14ac:dyDescent="0.2">
      <c r="B31" s="13"/>
      <c r="C31" s="13"/>
      <c r="D31" s="13"/>
      <c r="E31" s="13"/>
      <c r="F31" s="12" t="str">
        <f t="shared" si="0"/>
        <v/>
      </c>
    </row>
    <row r="32" spans="2:6" x14ac:dyDescent="0.2">
      <c r="B32" s="13"/>
      <c r="C32" s="13"/>
      <c r="D32" s="13"/>
      <c r="E32" s="13"/>
      <c r="F32" s="12" t="str">
        <f t="shared" si="0"/>
        <v/>
      </c>
    </row>
    <row r="33" spans="2:6" x14ac:dyDescent="0.2">
      <c r="B33" s="13"/>
      <c r="C33" s="13"/>
      <c r="D33" s="13"/>
      <c r="E33" s="13"/>
      <c r="F33" s="12" t="str">
        <f t="shared" si="0"/>
        <v/>
      </c>
    </row>
    <row r="34" spans="2:6" x14ac:dyDescent="0.2">
      <c r="B34" s="13"/>
      <c r="C34" s="13"/>
      <c r="D34" s="13"/>
      <c r="E34" s="13"/>
      <c r="F34" s="12" t="str">
        <f t="shared" si="0"/>
        <v/>
      </c>
    </row>
    <row r="35" spans="2:6" x14ac:dyDescent="0.2">
      <c r="B35" s="13"/>
      <c r="C35" s="13"/>
      <c r="D35" s="13"/>
      <c r="E35" s="13"/>
      <c r="F35" s="12" t="str">
        <f t="shared" si="0"/>
        <v/>
      </c>
    </row>
    <row r="36" spans="2:6" x14ac:dyDescent="0.2">
      <c r="B36" s="13"/>
      <c r="C36" s="13"/>
      <c r="D36" s="13"/>
      <c r="E36" s="13"/>
      <c r="F36" s="12" t="str">
        <f t="shared" si="0"/>
        <v/>
      </c>
    </row>
    <row r="37" spans="2:6" x14ac:dyDescent="0.2">
      <c r="B37" s="13"/>
      <c r="C37" s="13"/>
      <c r="D37" s="13"/>
      <c r="E37" s="13"/>
      <c r="F37" s="12" t="str">
        <f t="shared" si="0"/>
        <v/>
      </c>
    </row>
    <row r="38" spans="2:6" x14ac:dyDescent="0.2">
      <c r="B38" s="13"/>
      <c r="C38" s="13"/>
      <c r="D38" s="13"/>
      <c r="E38" s="13"/>
      <c r="F38" s="12" t="str">
        <f t="shared" si="0"/>
        <v/>
      </c>
    </row>
    <row r="39" spans="2:6" x14ac:dyDescent="0.2">
      <c r="B39" s="13"/>
      <c r="C39" s="13"/>
      <c r="D39" s="13"/>
      <c r="E39" s="13"/>
      <c r="F39" s="12" t="str">
        <f t="shared" si="0"/>
        <v/>
      </c>
    </row>
    <row r="40" spans="2:6" x14ac:dyDescent="0.2">
      <c r="B40" s="13"/>
      <c r="C40" s="13"/>
      <c r="D40" s="13"/>
      <c r="E40" s="13"/>
      <c r="F40" s="12" t="str">
        <f t="shared" si="0"/>
        <v/>
      </c>
    </row>
    <row r="41" spans="2:6" x14ac:dyDescent="0.2">
      <c r="B41" s="13"/>
      <c r="C41" s="13"/>
      <c r="D41" s="13"/>
      <c r="E41" s="13"/>
      <c r="F41" s="12" t="str">
        <f t="shared" si="0"/>
        <v/>
      </c>
    </row>
    <row r="42" spans="2:6" x14ac:dyDescent="0.2">
      <c r="B42" s="13"/>
      <c r="C42" s="13"/>
      <c r="D42" s="13"/>
      <c r="E42" s="13"/>
      <c r="F42" s="12" t="str">
        <f t="shared" si="0"/>
        <v/>
      </c>
    </row>
    <row r="43" spans="2:6" x14ac:dyDescent="0.2">
      <c r="B43" s="13"/>
      <c r="C43" s="13"/>
      <c r="D43" s="13"/>
      <c r="E43" s="13"/>
      <c r="F43" s="12" t="str">
        <f t="shared" si="0"/>
        <v/>
      </c>
    </row>
    <row r="44" spans="2:6" x14ac:dyDescent="0.2">
      <c r="B44" s="13"/>
      <c r="C44" s="13"/>
      <c r="D44" s="13"/>
      <c r="E44" s="13"/>
      <c r="F44" s="12" t="str">
        <f t="shared" si="0"/>
        <v/>
      </c>
    </row>
    <row r="45" spans="2:6" x14ac:dyDescent="0.2">
      <c r="B45" s="13"/>
      <c r="C45" s="13"/>
      <c r="D45" s="13"/>
      <c r="E45" s="13"/>
      <c r="F45" s="12" t="str">
        <f t="shared" si="0"/>
        <v/>
      </c>
    </row>
    <row r="46" spans="2:6" x14ac:dyDescent="0.2">
      <c r="B46" s="13"/>
      <c r="C46" s="13"/>
      <c r="D46" s="13"/>
      <c r="E46" s="13"/>
      <c r="F46" s="12" t="str">
        <f t="shared" si="0"/>
        <v/>
      </c>
    </row>
    <row r="47" spans="2:6" x14ac:dyDescent="0.2">
      <c r="B47" s="13"/>
      <c r="C47" s="13"/>
      <c r="D47" s="13"/>
      <c r="E47" s="13"/>
      <c r="F47" s="12" t="str">
        <f t="shared" si="0"/>
        <v/>
      </c>
    </row>
    <row r="48" spans="2:6" x14ac:dyDescent="0.2">
      <c r="B48" s="13"/>
      <c r="C48" s="13"/>
      <c r="D48" s="13"/>
      <c r="E48" s="13"/>
      <c r="F48" s="12" t="str">
        <f t="shared" si="0"/>
        <v/>
      </c>
    </row>
    <row r="49" spans="2:6" x14ac:dyDescent="0.2">
      <c r="B49" s="13"/>
      <c r="C49" s="13"/>
      <c r="D49" s="13"/>
      <c r="E49" s="13"/>
      <c r="F49" s="12" t="str">
        <f t="shared" si="0"/>
        <v/>
      </c>
    </row>
    <row r="50" spans="2:6" x14ac:dyDescent="0.2">
      <c r="B50" s="13"/>
      <c r="C50" s="13"/>
      <c r="D50" s="13"/>
      <c r="E50" s="13"/>
      <c r="F50" s="12" t="str">
        <f t="shared" si="0"/>
        <v/>
      </c>
    </row>
    <row r="51" spans="2:6" x14ac:dyDescent="0.2">
      <c r="B51" s="13"/>
      <c r="C51" s="13"/>
      <c r="D51" s="13"/>
      <c r="E51" s="13"/>
      <c r="F51" s="12" t="str">
        <f t="shared" si="0"/>
        <v/>
      </c>
    </row>
    <row r="52" spans="2:6" x14ac:dyDescent="0.2">
      <c r="B52" s="13"/>
      <c r="C52" s="13"/>
      <c r="D52" s="13"/>
      <c r="E52" s="13"/>
      <c r="F52" s="12" t="str">
        <f t="shared" si="0"/>
        <v/>
      </c>
    </row>
    <row r="53" spans="2:6" x14ac:dyDescent="0.2">
      <c r="B53" s="13"/>
      <c r="C53" s="13"/>
      <c r="D53" s="13"/>
      <c r="E53" s="13"/>
      <c r="F53" s="12" t="str">
        <f t="shared" si="0"/>
        <v/>
      </c>
    </row>
    <row r="54" spans="2:6" x14ac:dyDescent="0.2">
      <c r="B54" s="13"/>
      <c r="C54" s="13"/>
      <c r="D54" s="13"/>
      <c r="E54" s="13"/>
      <c r="F54" s="12" t="str">
        <f t="shared" si="0"/>
        <v/>
      </c>
    </row>
  </sheetData>
  <mergeCells count="1">
    <mergeCell ref="B2:F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10"/>
  <sheetViews>
    <sheetView showGridLines="0" zoomScaleNormal="100" workbookViewId="0">
      <selection activeCell="D6" sqref="D6"/>
    </sheetView>
  </sheetViews>
  <sheetFormatPr baseColWidth="10" defaultColWidth="8.6640625" defaultRowHeight="15" x14ac:dyDescent="0.2"/>
  <cols>
    <col min="1" max="1" width="2" customWidth="1"/>
    <col min="2" max="2" width="45" customWidth="1"/>
    <col min="3" max="3" width="18" customWidth="1"/>
    <col min="4" max="4" width="45" customWidth="1"/>
  </cols>
  <sheetData>
    <row r="2" spans="2:4" ht="27.75" customHeight="1" x14ac:dyDescent="0.2">
      <c r="B2" s="64" t="s">
        <v>59</v>
      </c>
      <c r="C2" s="64"/>
      <c r="D2" s="64"/>
    </row>
    <row r="4" spans="2:4" x14ac:dyDescent="0.2">
      <c r="B4" s="19" t="s">
        <v>60</v>
      </c>
      <c r="C4" s="19" t="s">
        <v>61</v>
      </c>
      <c r="D4" s="19" t="s">
        <v>62</v>
      </c>
    </row>
    <row r="5" spans="2:4" x14ac:dyDescent="0.2">
      <c r="B5" s="43" t="s">
        <v>147</v>
      </c>
      <c r="C5" s="45">
        <v>60</v>
      </c>
      <c r="D5" s="1"/>
    </row>
    <row r="6" spans="2:4" x14ac:dyDescent="0.2">
      <c r="B6" s="10" t="s">
        <v>63</v>
      </c>
      <c r="C6" s="45">
        <v>360</v>
      </c>
      <c r="D6" s="1" t="s">
        <v>64</v>
      </c>
    </row>
    <row r="7" spans="2:4" x14ac:dyDescent="0.2">
      <c r="B7" s="43" t="s">
        <v>143</v>
      </c>
      <c r="C7" s="45">
        <v>95</v>
      </c>
      <c r="D7" s="1" t="s">
        <v>65</v>
      </c>
    </row>
    <row r="8" spans="2:4" x14ac:dyDescent="0.2">
      <c r="B8" s="43" t="s">
        <v>144</v>
      </c>
      <c r="C8" s="20">
        <f>C5*C6</f>
        <v>21600</v>
      </c>
      <c r="D8" s="1" t="s">
        <v>66</v>
      </c>
    </row>
    <row r="9" spans="2:4" x14ac:dyDescent="0.2">
      <c r="B9" s="10" t="s">
        <v>67</v>
      </c>
      <c r="C9" s="46">
        <v>0.55000000000000004</v>
      </c>
      <c r="D9" s="1" t="s">
        <v>148</v>
      </c>
    </row>
    <row r="10" spans="2:4" x14ac:dyDescent="0.2">
      <c r="B10" s="10" t="s">
        <v>68</v>
      </c>
      <c r="C10" s="46">
        <v>0.45</v>
      </c>
      <c r="D10" s="1" t="s">
        <v>69</v>
      </c>
    </row>
  </sheetData>
  <mergeCells count="1">
    <mergeCell ref="B2:D2"/>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E25"/>
  <sheetViews>
    <sheetView showGridLines="0" zoomScale="168" zoomScaleNormal="100" workbookViewId="0">
      <selection activeCell="C6" sqref="C6"/>
    </sheetView>
  </sheetViews>
  <sheetFormatPr baseColWidth="10" defaultColWidth="8.6640625" defaultRowHeight="15" x14ac:dyDescent="0.2"/>
  <cols>
    <col min="1" max="1" width="2" customWidth="1"/>
    <col min="2" max="2" width="38" customWidth="1"/>
    <col min="3" max="3" width="18" customWidth="1"/>
    <col min="4" max="4" width="12" customWidth="1"/>
    <col min="5" max="5" width="45" customWidth="1"/>
  </cols>
  <sheetData>
    <row r="2" spans="2:5" ht="27.75" customHeight="1" x14ac:dyDescent="0.2">
      <c r="B2" s="64" t="s">
        <v>70</v>
      </c>
      <c r="C2" s="64"/>
      <c r="D2" s="64"/>
      <c r="E2" s="64"/>
    </row>
    <row r="4" spans="2:5" x14ac:dyDescent="0.2">
      <c r="B4" s="21" t="s">
        <v>71</v>
      </c>
      <c r="C4" s="21" t="s">
        <v>72</v>
      </c>
      <c r="D4" s="21" t="s">
        <v>73</v>
      </c>
      <c r="E4" s="21" t="s">
        <v>74</v>
      </c>
    </row>
    <row r="5" spans="2:5" x14ac:dyDescent="0.2">
      <c r="B5" s="10" t="s">
        <v>75</v>
      </c>
      <c r="C5" s="47">
        <v>300000</v>
      </c>
      <c r="D5" s="22">
        <f t="shared" ref="D5:D18" si="0">IFERROR(C5/$C$19,0)</f>
        <v>0.30785017957927141</v>
      </c>
      <c r="E5" s="1" t="s">
        <v>76</v>
      </c>
    </row>
    <row r="6" spans="2:5" x14ac:dyDescent="0.2">
      <c r="B6" s="10" t="s">
        <v>77</v>
      </c>
      <c r="C6" s="47">
        <v>280000</v>
      </c>
      <c r="D6" s="22">
        <f t="shared" si="0"/>
        <v>0.28732683427398664</v>
      </c>
      <c r="E6" s="1" t="s">
        <v>78</v>
      </c>
    </row>
    <row r="7" spans="2:5" x14ac:dyDescent="0.2">
      <c r="B7" s="10" t="s">
        <v>79</v>
      </c>
      <c r="C7" s="47">
        <v>90000</v>
      </c>
      <c r="D7" s="22">
        <f t="shared" si="0"/>
        <v>9.2355053873781429E-2</v>
      </c>
      <c r="E7" s="1" t="s">
        <v>80</v>
      </c>
    </row>
    <row r="8" spans="2:5" x14ac:dyDescent="0.2">
      <c r="B8" s="10" t="s">
        <v>81</v>
      </c>
      <c r="C8" s="47">
        <v>28000</v>
      </c>
      <c r="D8" s="22">
        <f t="shared" si="0"/>
        <v>2.8732683427398667E-2</v>
      </c>
      <c r="E8" s="1" t="s">
        <v>82</v>
      </c>
    </row>
    <row r="9" spans="2:5" x14ac:dyDescent="0.2">
      <c r="B9" s="10" t="s">
        <v>83</v>
      </c>
      <c r="C9" s="47">
        <v>14000</v>
      </c>
      <c r="D9" s="22">
        <f t="shared" si="0"/>
        <v>1.4366341713699333E-2</v>
      </c>
      <c r="E9" s="1" t="s">
        <v>84</v>
      </c>
    </row>
    <row r="10" spans="2:5" x14ac:dyDescent="0.2">
      <c r="B10" s="10" t="s">
        <v>85</v>
      </c>
      <c r="C10" s="47">
        <v>7500</v>
      </c>
      <c r="D10" s="22">
        <f t="shared" si="0"/>
        <v>7.6962544894817854E-3</v>
      </c>
      <c r="E10" s="1" t="s">
        <v>86</v>
      </c>
    </row>
    <row r="11" spans="2:5" x14ac:dyDescent="0.2">
      <c r="B11" s="10" t="s">
        <v>87</v>
      </c>
      <c r="C11" s="47">
        <v>26000</v>
      </c>
      <c r="D11" s="22">
        <f t="shared" si="0"/>
        <v>2.6680348896870189E-2</v>
      </c>
      <c r="E11" s="1" t="s">
        <v>88</v>
      </c>
    </row>
    <row r="12" spans="2:5" x14ac:dyDescent="0.2">
      <c r="B12" s="10" t="s">
        <v>89</v>
      </c>
      <c r="C12" s="47">
        <v>18000</v>
      </c>
      <c r="D12" s="22">
        <f t="shared" si="0"/>
        <v>1.8471010774756286E-2</v>
      </c>
      <c r="E12" s="1" t="s">
        <v>90</v>
      </c>
    </row>
    <row r="13" spans="2:5" x14ac:dyDescent="0.2">
      <c r="B13" s="10" t="s">
        <v>91</v>
      </c>
      <c r="C13" s="47">
        <v>65000</v>
      </c>
      <c r="D13" s="22">
        <f t="shared" si="0"/>
        <v>6.6700872242175469E-2</v>
      </c>
      <c r="E13" s="1" t="s">
        <v>92</v>
      </c>
    </row>
    <row r="14" spans="2:5" x14ac:dyDescent="0.2">
      <c r="B14" s="10" t="s">
        <v>93</v>
      </c>
      <c r="C14" s="47">
        <v>95000</v>
      </c>
      <c r="D14" s="22">
        <f t="shared" si="0"/>
        <v>9.7485890200102621E-2</v>
      </c>
      <c r="E14" s="1" t="s">
        <v>94</v>
      </c>
    </row>
    <row r="15" spans="2:5" x14ac:dyDescent="0.2">
      <c r="B15" s="10" t="s">
        <v>95</v>
      </c>
      <c r="C15" s="47">
        <v>22000</v>
      </c>
      <c r="D15" s="22">
        <f t="shared" si="0"/>
        <v>2.2575679835813236E-2</v>
      </c>
      <c r="E15" s="1" t="s">
        <v>96</v>
      </c>
    </row>
    <row r="16" spans="2:5" x14ac:dyDescent="0.2">
      <c r="B16" s="10" t="s">
        <v>97</v>
      </c>
      <c r="C16" s="47">
        <v>8000</v>
      </c>
      <c r="D16" s="22">
        <f t="shared" si="0"/>
        <v>8.2093381221139041E-3</v>
      </c>
      <c r="E16" s="1" t="s">
        <v>98</v>
      </c>
    </row>
    <row r="17" spans="2:5" x14ac:dyDescent="0.2">
      <c r="B17" s="10" t="s">
        <v>99</v>
      </c>
      <c r="C17" s="47">
        <v>12000</v>
      </c>
      <c r="D17" s="22">
        <f t="shared" si="0"/>
        <v>1.2314007183170857E-2</v>
      </c>
      <c r="E17" s="1" t="s">
        <v>100</v>
      </c>
    </row>
    <row r="18" spans="2:5" x14ac:dyDescent="0.2">
      <c r="B18" s="10" t="s">
        <v>101</v>
      </c>
      <c r="C18" s="47">
        <v>9000</v>
      </c>
      <c r="D18" s="22">
        <f t="shared" si="0"/>
        <v>9.2355053873781432E-3</v>
      </c>
      <c r="E18" s="1" t="s">
        <v>102</v>
      </c>
    </row>
    <row r="19" spans="2:5" x14ac:dyDescent="0.2">
      <c r="B19" s="15" t="s">
        <v>103</v>
      </c>
      <c r="C19" s="23">
        <f>SUM(C5:C18)</f>
        <v>974500</v>
      </c>
      <c r="D19" s="24">
        <f>SUM(D5:D18)</f>
        <v>1</v>
      </c>
      <c r="E19" s="13"/>
    </row>
    <row r="21" spans="2:5" x14ac:dyDescent="0.2">
      <c r="B21" s="25" t="s">
        <v>104</v>
      </c>
      <c r="C21" s="26">
        <f>SUM(C5:C7)</f>
        <v>670000</v>
      </c>
    </row>
    <row r="22" spans="2:5" x14ac:dyDescent="0.2">
      <c r="B22" s="25" t="s">
        <v>105</v>
      </c>
      <c r="C22" s="26">
        <f>C19-C21</f>
        <v>304500</v>
      </c>
    </row>
    <row r="24" spans="2:5" x14ac:dyDescent="0.2">
      <c r="B24" s="27" t="s">
        <v>145</v>
      </c>
      <c r="C24" s="28">
        <f>IFERROR(C21/'03_Betriebsdaten'!$C$8,0)</f>
        <v>31.018518518518519</v>
      </c>
    </row>
    <row r="25" spans="2:5" x14ac:dyDescent="0.2">
      <c r="B25" s="27" t="s">
        <v>146</v>
      </c>
      <c r="C25" s="28">
        <f>IFERROR(C22/'03_Betriebsdaten'!$C$8,0)</f>
        <v>14.097222222222221</v>
      </c>
    </row>
  </sheetData>
  <mergeCells count="1">
    <mergeCell ref="B2:E2"/>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22"/>
  <sheetViews>
    <sheetView showGridLines="0" topLeftCell="A2" zoomScale="166" zoomScaleNormal="100" workbookViewId="0">
      <selection activeCell="C8" sqref="C8"/>
    </sheetView>
  </sheetViews>
  <sheetFormatPr baseColWidth="10" defaultColWidth="8.6640625" defaultRowHeight="15" x14ac:dyDescent="0.2"/>
  <cols>
    <col min="1" max="1" width="2" customWidth="1"/>
    <col min="2" max="2" width="45" customWidth="1"/>
    <col min="3" max="3" width="18" customWidth="1"/>
    <col min="4" max="4" width="14" customWidth="1"/>
    <col min="5" max="5" width="45" customWidth="1"/>
  </cols>
  <sheetData>
    <row r="2" spans="2:5" ht="27.75" customHeight="1" x14ac:dyDescent="0.2">
      <c r="B2" s="64" t="s">
        <v>106</v>
      </c>
      <c r="C2" s="64"/>
      <c r="D2" s="64"/>
      <c r="E2" s="64"/>
    </row>
    <row r="4" spans="2:5" x14ac:dyDescent="0.2">
      <c r="B4" s="2" t="s">
        <v>107</v>
      </c>
      <c r="C4" s="68" t="str">
        <f>'01_Rezeptur'!$C$4</f>
        <v>Mittagsmenü Zürcher Geschnetzeltes mit Rösti und kleinem Salat</v>
      </c>
      <c r="D4" s="68"/>
      <c r="E4" s="68"/>
    </row>
    <row r="6" spans="2:5" x14ac:dyDescent="0.2">
      <c r="B6" s="29" t="s">
        <v>58</v>
      </c>
      <c r="C6" s="30">
        <f>'01_Rezeptur'!$F$36</f>
        <v>11.113155129574295</v>
      </c>
      <c r="D6" s="67" t="s">
        <v>108</v>
      </c>
      <c r="E6" s="67"/>
    </row>
    <row r="7" spans="2:5" x14ac:dyDescent="0.2">
      <c r="B7" s="29" t="s">
        <v>145</v>
      </c>
      <c r="C7" s="30">
        <f>'04_Kostenstellen'!$C$24</f>
        <v>31.018518518518519</v>
      </c>
      <c r="D7" s="67" t="s">
        <v>152</v>
      </c>
      <c r="E7" s="67"/>
    </row>
    <row r="8" spans="2:5" x14ac:dyDescent="0.2">
      <c r="B8" s="29" t="s">
        <v>146</v>
      </c>
      <c r="C8" s="30">
        <f>'04_Kostenstellen'!$C$25</f>
        <v>14.097222222222221</v>
      </c>
      <c r="D8" s="67" t="s">
        <v>109</v>
      </c>
      <c r="E8" s="67"/>
    </row>
    <row r="9" spans="2:5" x14ac:dyDescent="0.2">
      <c r="B9" s="31" t="s">
        <v>110</v>
      </c>
      <c r="C9" s="32">
        <f>C6+C7+C8</f>
        <v>56.228895870315036</v>
      </c>
      <c r="D9" s="67" t="s">
        <v>151</v>
      </c>
      <c r="E9" s="67"/>
    </row>
    <row r="10" spans="2:5" x14ac:dyDescent="0.2">
      <c r="B10" s="29" t="s">
        <v>111</v>
      </c>
      <c r="C10" s="46">
        <v>0.1</v>
      </c>
      <c r="D10" s="67" t="s">
        <v>112</v>
      </c>
      <c r="E10" s="67"/>
    </row>
    <row r="11" spans="2:5" x14ac:dyDescent="0.2">
      <c r="B11" s="29" t="s">
        <v>113</v>
      </c>
      <c r="C11" s="33">
        <f>C9*C10</f>
        <v>5.6228895870315041</v>
      </c>
      <c r="D11" s="67"/>
      <c r="E11" s="67"/>
    </row>
    <row r="12" spans="2:5" x14ac:dyDescent="0.2">
      <c r="B12" s="29" t="s">
        <v>114</v>
      </c>
      <c r="C12" s="33">
        <f>C9+C11</f>
        <v>61.851785457346537</v>
      </c>
      <c r="D12" s="67"/>
      <c r="E12" s="67"/>
    </row>
    <row r="13" spans="2:5" x14ac:dyDescent="0.2">
      <c r="B13" s="29" t="s">
        <v>115</v>
      </c>
      <c r="C13" s="46">
        <v>8.1000000000000003E-2</v>
      </c>
      <c r="D13" s="67" t="s">
        <v>116</v>
      </c>
      <c r="E13" s="67"/>
    </row>
    <row r="14" spans="2:5" x14ac:dyDescent="0.2">
      <c r="B14" s="29" t="s">
        <v>117</v>
      </c>
      <c r="C14" s="33">
        <f>C12*C13</f>
        <v>5.0099946220450695</v>
      </c>
      <c r="D14" s="67"/>
      <c r="E14" s="67"/>
    </row>
    <row r="15" spans="2:5" x14ac:dyDescent="0.2">
      <c r="B15" s="31" t="s">
        <v>118</v>
      </c>
      <c r="C15" s="32">
        <f>C12+C14</f>
        <v>66.861780079391608</v>
      </c>
      <c r="D15" s="67" t="s">
        <v>119</v>
      </c>
      <c r="E15" s="67"/>
    </row>
    <row r="18" spans="2:5" x14ac:dyDescent="0.2">
      <c r="B18" s="57" t="s">
        <v>120</v>
      </c>
      <c r="C18" s="57"/>
      <c r="D18" s="57"/>
      <c r="E18" s="57"/>
    </row>
    <row r="19" spans="2:5" x14ac:dyDescent="0.2">
      <c r="B19" s="10" t="s">
        <v>121</v>
      </c>
      <c r="C19" s="34">
        <f>IFERROR(C6/C12,0)</f>
        <v>0.17967395843791789</v>
      </c>
      <c r="D19" s="67" t="s">
        <v>122</v>
      </c>
      <c r="E19" s="67"/>
    </row>
    <row r="20" spans="2:5" x14ac:dyDescent="0.2">
      <c r="B20" s="10" t="s">
        <v>123</v>
      </c>
      <c r="C20" s="34">
        <f>IFERROR(C7/C12,0)</f>
        <v>0.50149754431760307</v>
      </c>
      <c r="D20" s="67" t="s">
        <v>124</v>
      </c>
      <c r="E20" s="67"/>
    </row>
    <row r="21" spans="2:5" x14ac:dyDescent="0.2">
      <c r="B21" s="10" t="s">
        <v>125</v>
      </c>
      <c r="C21" s="34">
        <f>IFERROR(C8/C12,0)</f>
        <v>0.22791940633538821</v>
      </c>
      <c r="D21" s="67" t="s">
        <v>126</v>
      </c>
      <c r="E21" s="67"/>
    </row>
    <row r="22" spans="2:5" x14ac:dyDescent="0.2">
      <c r="B22" s="10" t="s">
        <v>127</v>
      </c>
      <c r="C22" s="35">
        <f>IFERROR(C9/C6,0)</f>
        <v>5.0596698430564393</v>
      </c>
      <c r="D22" s="67" t="s">
        <v>153</v>
      </c>
      <c r="E22" s="67"/>
    </row>
  </sheetData>
  <mergeCells count="17">
    <mergeCell ref="B2:E2"/>
    <mergeCell ref="C4:E4"/>
    <mergeCell ref="D6:E6"/>
    <mergeCell ref="D7:E7"/>
    <mergeCell ref="D8:E8"/>
    <mergeCell ref="D9:E9"/>
    <mergeCell ref="D10:E10"/>
    <mergeCell ref="D11:E11"/>
    <mergeCell ref="D12:E12"/>
    <mergeCell ref="D13:E13"/>
    <mergeCell ref="D21:E21"/>
    <mergeCell ref="D22:E22"/>
    <mergeCell ref="D14:E14"/>
    <mergeCell ref="D15:E15"/>
    <mergeCell ref="B18:E18"/>
    <mergeCell ref="D19:E19"/>
    <mergeCell ref="D20:E20"/>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8"/>
  <sheetViews>
    <sheetView showGridLines="0" zoomScaleNormal="100" workbookViewId="0">
      <selection activeCell="B8" sqref="B8:F8"/>
    </sheetView>
  </sheetViews>
  <sheetFormatPr baseColWidth="10" defaultColWidth="8.6640625" defaultRowHeight="15" x14ac:dyDescent="0.2"/>
  <cols>
    <col min="1" max="1" width="2" customWidth="1"/>
    <col min="2" max="2" width="38" customWidth="1"/>
    <col min="3" max="6" width="20" customWidth="1"/>
  </cols>
  <sheetData>
    <row r="2" spans="2:6" ht="27.75" customHeight="1" x14ac:dyDescent="0.2">
      <c r="B2" s="64" t="s">
        <v>128</v>
      </c>
      <c r="C2" s="64"/>
      <c r="D2" s="64"/>
      <c r="E2" s="64"/>
      <c r="F2" s="64"/>
    </row>
    <row r="4" spans="2:6" ht="36" customHeight="1" x14ac:dyDescent="0.2">
      <c r="B4" s="5" t="s">
        <v>107</v>
      </c>
      <c r="C4" s="5" t="s">
        <v>129</v>
      </c>
      <c r="D4" s="5" t="s">
        <v>130</v>
      </c>
      <c r="E4" s="5" t="s">
        <v>131</v>
      </c>
      <c r="F4" s="5" t="s">
        <v>132</v>
      </c>
    </row>
    <row r="5" spans="2:6" x14ac:dyDescent="0.2">
      <c r="B5" s="36" t="str">
        <f>'01_Rezeptur'!$C$4</f>
        <v>Mittagsmenü Zürcher Geschnetzeltes mit Rösti und kleinem Salat</v>
      </c>
      <c r="C5" s="44">
        <v>24.5</v>
      </c>
      <c r="D5" s="14">
        <f>'05_Vollkostenkalkulation'!$C$15</f>
        <v>66.861780079391608</v>
      </c>
      <c r="E5" s="12">
        <f>C5-D5</f>
        <v>-42.361780079391608</v>
      </c>
      <c r="F5" s="22">
        <f>IFERROR(C5/D5,0)</f>
        <v>0.36642757597701897</v>
      </c>
    </row>
    <row r="7" spans="2:6" x14ac:dyDescent="0.2">
      <c r="B7" s="57" t="s">
        <v>133</v>
      </c>
      <c r="C7" s="57"/>
      <c r="D7" s="57"/>
      <c r="E7" s="57"/>
      <c r="F7" s="57"/>
    </row>
    <row r="8" spans="2:6" ht="60" customHeight="1" x14ac:dyDescent="0.2">
      <c r="B8" s="58" t="s">
        <v>134</v>
      </c>
      <c r="C8" s="58"/>
      <c r="D8" s="58"/>
      <c r="E8" s="58"/>
      <c r="F8" s="58"/>
    </row>
  </sheetData>
  <mergeCells count="3">
    <mergeCell ref="B2:F2"/>
    <mergeCell ref="B7:F7"/>
    <mergeCell ref="B8:F8"/>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5"/>
  <sheetViews>
    <sheetView showGridLines="0" zoomScale="91" zoomScaleNormal="100" workbookViewId="0">
      <selection activeCell="C8" sqref="C8"/>
    </sheetView>
  </sheetViews>
  <sheetFormatPr baseColWidth="10" defaultColWidth="8.6640625" defaultRowHeight="15" x14ac:dyDescent="0.2"/>
  <cols>
    <col min="1" max="1" width="2" customWidth="1"/>
    <col min="2" max="2" width="45" customWidth="1"/>
    <col min="3" max="5" width="22" customWidth="1"/>
  </cols>
  <sheetData>
    <row r="2" spans="2:5" ht="27.75" customHeight="1" x14ac:dyDescent="0.2">
      <c r="B2" s="64" t="s">
        <v>135</v>
      </c>
      <c r="C2" s="64"/>
      <c r="D2" s="64"/>
      <c r="E2" s="64"/>
    </row>
    <row r="4" spans="2:5" ht="36" customHeight="1" x14ac:dyDescent="0.2">
      <c r="B4" s="5" t="s">
        <v>60</v>
      </c>
      <c r="C4" s="5" t="s">
        <v>157</v>
      </c>
      <c r="D4" s="5" t="s">
        <v>136</v>
      </c>
      <c r="E4" s="5" t="s">
        <v>131</v>
      </c>
    </row>
    <row r="5" spans="2:5" x14ac:dyDescent="0.2">
      <c r="B5" s="10" t="s">
        <v>58</v>
      </c>
      <c r="C5" s="14">
        <f>'01_Rezeptur'!$F$36</f>
        <v>11.113155129574295</v>
      </c>
      <c r="D5" s="14">
        <f>'01_Rezeptur'!$F$36</f>
        <v>11.113155129574295</v>
      </c>
      <c r="E5" s="12">
        <f>D5-C5</f>
        <v>0</v>
      </c>
    </row>
    <row r="6" spans="2:5" x14ac:dyDescent="0.2">
      <c r="B6" s="10" t="s">
        <v>137</v>
      </c>
      <c r="C6" s="12">
        <f>C5*(C9-1)</f>
        <v>22.22631025914859</v>
      </c>
      <c r="D6" s="14">
        <f>'04_Kostenstellen'!$C$24+'04_Kostenstellen'!$C$25</f>
        <v>45.11574074074074</v>
      </c>
      <c r="E6" s="12">
        <f>D6-C6</f>
        <v>22.88943048159215</v>
      </c>
    </row>
    <row r="7" spans="2:5" x14ac:dyDescent="0.2">
      <c r="B7" s="15" t="s">
        <v>110</v>
      </c>
      <c r="C7" s="16">
        <f>C5+C6</f>
        <v>33.339465388722886</v>
      </c>
      <c r="D7" s="16">
        <f>D5+D6</f>
        <v>56.228895870315036</v>
      </c>
      <c r="E7" s="16">
        <f>D7-C7</f>
        <v>22.88943048159215</v>
      </c>
    </row>
    <row r="8" spans="2:5" x14ac:dyDescent="0.2">
      <c r="B8" s="10" t="s">
        <v>138</v>
      </c>
      <c r="C8" s="53">
        <v>0.1</v>
      </c>
      <c r="D8" s="37">
        <f>'05_Vollkostenkalkulation'!C10</f>
        <v>0.1</v>
      </c>
      <c r="E8" s="13"/>
    </row>
    <row r="9" spans="2:5" x14ac:dyDescent="0.2">
      <c r="B9" s="10" t="s">
        <v>139</v>
      </c>
      <c r="C9" s="54">
        <v>3</v>
      </c>
      <c r="D9" s="38" t="s">
        <v>140</v>
      </c>
      <c r="E9" s="13"/>
    </row>
    <row r="10" spans="2:5" x14ac:dyDescent="0.2">
      <c r="B10" s="29" t="s">
        <v>114</v>
      </c>
      <c r="C10" s="39">
        <f>C7*(1+C8)</f>
        <v>36.673411927595176</v>
      </c>
      <c r="D10" s="39">
        <f>D7*(1+D8)</f>
        <v>61.851785457346544</v>
      </c>
      <c r="E10" s="39">
        <f>D10-C10</f>
        <v>25.178373529751369</v>
      </c>
    </row>
    <row r="11" spans="2:5" x14ac:dyDescent="0.2">
      <c r="B11" s="10" t="s">
        <v>115</v>
      </c>
      <c r="C11" s="53">
        <v>8.1000000000000003E-2</v>
      </c>
      <c r="D11" s="37">
        <f>'05_Vollkostenkalkulation'!C13</f>
        <v>8.1000000000000003E-2</v>
      </c>
      <c r="E11" s="13"/>
    </row>
    <row r="12" spans="2:5" x14ac:dyDescent="0.2">
      <c r="B12" s="31" t="s">
        <v>141</v>
      </c>
      <c r="C12" s="18">
        <f>C10*(1+C11)</f>
        <v>39.643958293730385</v>
      </c>
      <c r="D12" s="18">
        <f>D10*(1+D11)</f>
        <v>66.861780079391608</v>
      </c>
      <c r="E12" s="18">
        <f>D12-C12</f>
        <v>27.217821785661222</v>
      </c>
    </row>
    <row r="14" spans="2:5" x14ac:dyDescent="0.2">
      <c r="B14" s="57" t="s">
        <v>142</v>
      </c>
      <c r="C14" s="57"/>
      <c r="D14" s="57"/>
      <c r="E14" s="57"/>
    </row>
    <row r="15" spans="2:5" ht="90" customHeight="1" x14ac:dyDescent="0.2">
      <c r="B15" s="69" t="s">
        <v>156</v>
      </c>
      <c r="C15" s="58"/>
      <c r="D15" s="58"/>
      <c r="E15" s="58"/>
    </row>
  </sheetData>
  <mergeCells count="3">
    <mergeCell ref="B2:E2"/>
    <mergeCell ref="B14:E14"/>
    <mergeCell ref="B15:E15"/>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00_Intro</vt:lpstr>
      <vt:lpstr>01_Rezeptur</vt:lpstr>
      <vt:lpstr>02_Einkaufspreise</vt:lpstr>
      <vt:lpstr>03_Betriebsdaten</vt:lpstr>
      <vt:lpstr>04_Kostenstellen</vt:lpstr>
      <vt:lpstr>05_Vollkostenkalkulation</vt:lpstr>
      <vt:lpstr>06_Preismonitor</vt:lpstr>
      <vt:lpstr>07_Vergleich_zuschlagskalkulati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Schefer Nico (scfi)</cp:lastModifiedBy>
  <cp:revision>0</cp:revision>
  <dcterms:created xsi:type="dcterms:W3CDTF">2026-04-14T13:39:50Z</dcterms:created>
  <dcterms:modified xsi:type="dcterms:W3CDTF">2026-04-15T07:05:35Z</dcterms:modified>
  <cp:category/>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0d9bad3-6dac-4e9a-89a3-89f3b8d247b2_Enabled">
    <vt:lpwstr>true</vt:lpwstr>
  </property>
  <property fmtid="{D5CDD505-2E9C-101B-9397-08002B2CF9AE}" pid="3" name="MSIP_Label_10d9bad3-6dac-4e9a-89a3-89f3b8d247b2_SetDate">
    <vt:lpwstr>2026-04-14T17:05:35Z</vt:lpwstr>
  </property>
  <property fmtid="{D5CDD505-2E9C-101B-9397-08002B2CF9AE}" pid="4" name="MSIP_Label_10d9bad3-6dac-4e9a-89a3-89f3b8d247b2_Method">
    <vt:lpwstr>Standard</vt:lpwstr>
  </property>
  <property fmtid="{D5CDD505-2E9C-101B-9397-08002B2CF9AE}" pid="5" name="MSIP_Label_10d9bad3-6dac-4e9a-89a3-89f3b8d247b2_Name">
    <vt:lpwstr>10d9bad3-6dac-4e9a-89a3-89f3b8d247b2</vt:lpwstr>
  </property>
  <property fmtid="{D5CDD505-2E9C-101B-9397-08002B2CF9AE}" pid="6" name="MSIP_Label_10d9bad3-6dac-4e9a-89a3-89f3b8d247b2_SiteId">
    <vt:lpwstr>5d1a9f9d-201f-4a10-b983-451cf65cbc1e</vt:lpwstr>
  </property>
  <property fmtid="{D5CDD505-2E9C-101B-9397-08002B2CF9AE}" pid="7" name="MSIP_Label_10d9bad3-6dac-4e9a-89a3-89f3b8d247b2_ActionId">
    <vt:lpwstr>7c8644e5-4db4-4beb-9451-0133706dab70</vt:lpwstr>
  </property>
  <property fmtid="{D5CDD505-2E9C-101B-9397-08002B2CF9AE}" pid="8" name="MSIP_Label_10d9bad3-6dac-4e9a-89a3-89f3b8d247b2_ContentBits">
    <vt:lpwstr>0</vt:lpwstr>
  </property>
  <property fmtid="{D5CDD505-2E9C-101B-9397-08002B2CF9AE}" pid="9" name="MSIP_Label_10d9bad3-6dac-4e9a-89a3-89f3b8d247b2_Tag">
    <vt:lpwstr>50, 3, 0, 1</vt:lpwstr>
  </property>
</Properties>
</file>